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1NAS220C35\Public\โครงการโซล่าเซลล์\PPA\กทม\"/>
    </mc:Choice>
  </mc:AlternateContent>
  <xr:revisionPtr revIDLastSave="0" documentId="13_ncr:1_{7BD36FFF-F47A-4990-A48F-E896DB420D69}" xr6:coauthVersionLast="47" xr6:coauthVersionMax="47" xr10:uidLastSave="{00000000-0000-0000-0000-000000000000}"/>
  <bookViews>
    <workbookView xWindow="1560" yWindow="1560" windowWidth="21600" windowHeight="13020" activeTab="4" xr2:uid="{8AA5082F-9C10-45B0-889E-1F213C332630}"/>
  </bookViews>
  <sheets>
    <sheet name="กทม 3MW PPA 35B55" sheetId="7" r:id="rId1"/>
    <sheet name="กทม 3MW PPA 4B73" sheetId="1" r:id="rId2"/>
    <sheet name="กทม 3MW PPA 4.5B73" sheetId="2" r:id="rId3"/>
    <sheet name="กทม 3MW PPA 4B55" sheetId="3" r:id="rId4"/>
    <sheet name="กทม 3MW PPA 4.5B55" sheetId="4" r:id="rId5"/>
    <sheet name="กทม 3MW PPA 5B55" sheetId="5" r:id="rId6"/>
    <sheet name="กทม 3MW PPA 5.5B55" sheetId="6" r:id="rId7"/>
    <sheet name="15Y" sheetId="9" r:id="rId8"/>
    <sheet name="25Y" sheetId="8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2" l="1"/>
  <c r="X9" i="3"/>
  <c r="T10" i="3"/>
  <c r="T9" i="3"/>
  <c r="T9" i="2"/>
  <c r="R9" i="3"/>
  <c r="R8" i="3"/>
  <c r="P8" i="3"/>
  <c r="P7" i="3"/>
  <c r="J6" i="3"/>
  <c r="R8" i="2"/>
  <c r="O7" i="3"/>
  <c r="P9" i="3"/>
  <c r="P10" i="3" s="1"/>
  <c r="P11" i="3" s="1"/>
  <c r="P12" i="3" s="1"/>
  <c r="X9" i="1"/>
  <c r="R9" i="2"/>
  <c r="P9" i="2"/>
  <c r="P10" i="2"/>
  <c r="P11" i="2" s="1"/>
  <c r="P12" i="2" s="1"/>
  <c r="P8" i="2"/>
  <c r="P7" i="2"/>
  <c r="U9" i="1"/>
  <c r="U10" i="1"/>
  <c r="P13" i="1"/>
  <c r="P9" i="1"/>
  <c r="P10" i="1"/>
  <c r="P11" i="1"/>
  <c r="P12" i="1" s="1"/>
  <c r="P8" i="1"/>
  <c r="P7" i="1"/>
  <c r="S10" i="1"/>
  <c r="K6" i="3"/>
  <c r="L32" i="2"/>
  <c r="M32" i="2"/>
  <c r="L32" i="1"/>
  <c r="M32" i="1"/>
  <c r="J7" i="6"/>
  <c r="O6" i="6"/>
  <c r="O6" i="5"/>
  <c r="O6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7" i="4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7" i="5"/>
  <c r="F6" i="5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8" i="6"/>
  <c r="J9" i="6"/>
  <c r="J10" i="6"/>
  <c r="J11" i="6"/>
  <c r="J12" i="6"/>
  <c r="J13" i="6"/>
  <c r="J14" i="6"/>
  <c r="J15" i="6"/>
  <c r="F6" i="6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7" i="9"/>
  <c r="F6" i="8"/>
  <c r="G6" i="8" s="1"/>
  <c r="J7" i="8" s="1"/>
  <c r="N7" i="8" s="1"/>
  <c r="E6" i="8"/>
  <c r="E7" i="8"/>
  <c r="T5" i="8"/>
  <c r="T7" i="8"/>
  <c r="R7" i="8"/>
  <c r="O6" i="8"/>
  <c r="B22" i="9"/>
  <c r="R23" i="9"/>
  <c r="R19" i="9"/>
  <c r="R20" i="9" s="1"/>
  <c r="R12" i="9"/>
  <c r="R11" i="9"/>
  <c r="L33" i="9"/>
  <c r="R7" i="9" s="1"/>
  <c r="R14" i="9" s="1"/>
  <c r="D6" i="9" s="1"/>
  <c r="C7" i="9"/>
  <c r="O32" i="9"/>
  <c r="O34" i="9" s="1"/>
  <c r="K6" i="9"/>
  <c r="C6" i="9"/>
  <c r="L31" i="9"/>
  <c r="R34" i="8"/>
  <c r="Q33" i="8"/>
  <c r="B32" i="8"/>
  <c r="R19" i="8"/>
  <c r="R20" i="8" s="1"/>
  <c r="R11" i="8"/>
  <c r="R12" i="8" s="1"/>
  <c r="P39" i="8"/>
  <c r="P41" i="8" s="1"/>
  <c r="R25" i="8" s="1"/>
  <c r="K6" i="8"/>
  <c r="C6" i="8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R14" i="8"/>
  <c r="D6" i="8" s="1"/>
  <c r="W10" i="7"/>
  <c r="W11" i="7" s="1"/>
  <c r="Q13" i="7"/>
  <c r="Q9" i="7"/>
  <c r="Q8" i="7"/>
  <c r="R25" i="6"/>
  <c r="W18" i="7"/>
  <c r="R23" i="6"/>
  <c r="R25" i="5"/>
  <c r="R25" i="4"/>
  <c r="R2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15" i="7"/>
  <c r="O15" i="7"/>
  <c r="O16" i="7"/>
  <c r="O17" i="7"/>
  <c r="O18" i="7"/>
  <c r="N8" i="7"/>
  <c r="N9" i="7"/>
  <c r="N10" i="7"/>
  <c r="N11" i="7"/>
  <c r="N12" i="7"/>
  <c r="N13" i="7"/>
  <c r="N14" i="7"/>
  <c r="N7" i="7"/>
  <c r="R34" i="7"/>
  <c r="Q33" i="7"/>
  <c r="B32" i="7"/>
  <c r="R21" i="7"/>
  <c r="R20" i="7"/>
  <c r="R19" i="7"/>
  <c r="R12" i="7"/>
  <c r="R11" i="7"/>
  <c r="W8" i="7"/>
  <c r="T7" i="7"/>
  <c r="R7" i="7" s="1"/>
  <c r="R14" i="7" s="1"/>
  <c r="D6" i="7" s="1"/>
  <c r="W6" i="7"/>
  <c r="K6" i="7"/>
  <c r="C6" i="7"/>
  <c r="C7" i="7" s="1"/>
  <c r="T5" i="7"/>
  <c r="R34" i="6"/>
  <c r="Q33" i="6"/>
  <c r="B32" i="6"/>
  <c r="R19" i="6"/>
  <c r="R20" i="6" s="1"/>
  <c r="R11" i="6"/>
  <c r="R12" i="6" s="1"/>
  <c r="T7" i="6"/>
  <c r="R7" i="6"/>
  <c r="R14" i="6" s="1"/>
  <c r="D6" i="6" s="1"/>
  <c r="W6" i="6"/>
  <c r="W8" i="6" s="1"/>
  <c r="K6" i="6"/>
  <c r="C6" i="6"/>
  <c r="T5" i="6"/>
  <c r="R34" i="5"/>
  <c r="Q33" i="5"/>
  <c r="B32" i="5"/>
  <c r="R19" i="5"/>
  <c r="R20" i="5" s="1"/>
  <c r="R11" i="5"/>
  <c r="R12" i="5" s="1"/>
  <c r="T7" i="5"/>
  <c r="R7" i="5"/>
  <c r="R14" i="5" s="1"/>
  <c r="D6" i="5" s="1"/>
  <c r="W6" i="5"/>
  <c r="W8" i="5" s="1"/>
  <c r="K6" i="5"/>
  <c r="C6" i="5"/>
  <c r="T5" i="5"/>
  <c r="R34" i="4"/>
  <c r="Q33" i="4"/>
  <c r="B32" i="4"/>
  <c r="R20" i="4"/>
  <c r="R19" i="4"/>
  <c r="R11" i="4"/>
  <c r="R12" i="4" s="1"/>
  <c r="W6" i="4"/>
  <c r="W8" i="4" s="1"/>
  <c r="K6" i="4"/>
  <c r="C6" i="4"/>
  <c r="C7" i="4" s="1"/>
  <c r="T5" i="4"/>
  <c r="T7" i="4" s="1"/>
  <c r="R7" i="4" s="1"/>
  <c r="R14" i="4" s="1"/>
  <c r="D6" i="4" s="1"/>
  <c r="S34" i="3"/>
  <c r="R33" i="3"/>
  <c r="B32" i="3"/>
  <c r="S19" i="3"/>
  <c r="S20" i="3" s="1"/>
  <c r="S11" i="3"/>
  <c r="S12" i="3" s="1"/>
  <c r="X6" i="3"/>
  <c r="X8" i="3" s="1"/>
  <c r="S25" i="3" s="1"/>
  <c r="C6" i="3"/>
  <c r="C7" i="3" s="1"/>
  <c r="U5" i="3"/>
  <c r="U7" i="3" s="1"/>
  <c r="S7" i="3" s="1"/>
  <c r="S14" i="3" s="1"/>
  <c r="D6" i="3" s="1"/>
  <c r="S34" i="2"/>
  <c r="R33" i="2"/>
  <c r="B32" i="2"/>
  <c r="S24" i="2"/>
  <c r="S20" i="2"/>
  <c r="S19" i="2"/>
  <c r="S11" i="2"/>
  <c r="S12" i="2" s="1"/>
  <c r="X6" i="2"/>
  <c r="X8" i="2" s="1"/>
  <c r="K6" i="2"/>
  <c r="C6" i="2"/>
  <c r="C7" i="2" s="1"/>
  <c r="U5" i="2"/>
  <c r="U7" i="2" s="1"/>
  <c r="S7" i="2" s="1"/>
  <c r="S14" i="2" s="1"/>
  <c r="D6" i="2" s="1"/>
  <c r="S34" i="1"/>
  <c r="R33" i="1"/>
  <c r="B32" i="1"/>
  <c r="S19" i="1"/>
  <c r="S20" i="1" s="1"/>
  <c r="S11" i="1"/>
  <c r="S12" i="1" s="1"/>
  <c r="X6" i="1"/>
  <c r="X8" i="1" s="1"/>
  <c r="K6" i="1"/>
  <c r="C6" i="1"/>
  <c r="C7" i="1" s="1"/>
  <c r="U5" i="1"/>
  <c r="U7" i="1" s="1"/>
  <c r="S7" i="1" s="1"/>
  <c r="S14" i="1" s="1"/>
  <c r="D6" i="1" s="1"/>
  <c r="S25" i="2" l="1"/>
  <c r="S25" i="1"/>
  <c r="R25" i="9"/>
  <c r="O6" i="9"/>
  <c r="D7" i="9"/>
  <c r="F6" i="9"/>
  <c r="E6" i="9"/>
  <c r="C8" i="9"/>
  <c r="D7" i="8"/>
  <c r="C32" i="8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D7" i="7"/>
  <c r="F6" i="7"/>
  <c r="E6" i="7"/>
  <c r="G6" i="7" s="1"/>
  <c r="D7" i="6"/>
  <c r="E6" i="6"/>
  <c r="C7" i="6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E6" i="5"/>
  <c r="D7" i="5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F6" i="4"/>
  <c r="E6" i="4"/>
  <c r="D7" i="4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D7" i="3"/>
  <c r="F6" i="3"/>
  <c r="E6" i="3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F6" i="2"/>
  <c r="D7" i="2"/>
  <c r="E6" i="2"/>
  <c r="D7" i="1"/>
  <c r="E6" i="1"/>
  <c r="F6" i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G6" i="2" l="1"/>
  <c r="J6" i="2" s="1"/>
  <c r="G6" i="3"/>
  <c r="G6" i="4"/>
  <c r="G6" i="9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/>
  <c r="D8" i="9"/>
  <c r="F7" i="9"/>
  <c r="E7" i="9"/>
  <c r="D8" i="8"/>
  <c r="F7" i="8"/>
  <c r="F7" i="7"/>
  <c r="E7" i="7"/>
  <c r="D8" i="7"/>
  <c r="C32" i="7"/>
  <c r="F7" i="6"/>
  <c r="E7" i="6"/>
  <c r="D8" i="6"/>
  <c r="G6" i="6"/>
  <c r="C32" i="6"/>
  <c r="F7" i="5"/>
  <c r="D8" i="5"/>
  <c r="E7" i="5"/>
  <c r="G6" i="5"/>
  <c r="C32" i="5"/>
  <c r="C32" i="4"/>
  <c r="F7" i="4"/>
  <c r="E7" i="4"/>
  <c r="D8" i="4"/>
  <c r="C32" i="3"/>
  <c r="F7" i="3"/>
  <c r="E7" i="3"/>
  <c r="D8" i="3"/>
  <c r="F7" i="2"/>
  <c r="E7" i="2"/>
  <c r="D8" i="2"/>
  <c r="C32" i="2"/>
  <c r="G6" i="1"/>
  <c r="J6" i="1" s="1"/>
  <c r="C32" i="1"/>
  <c r="E7" i="1"/>
  <c r="F7" i="1"/>
  <c r="D8" i="1"/>
  <c r="N6" i="3" l="1"/>
  <c r="O6" i="3" s="1"/>
  <c r="N6" i="2"/>
  <c r="N6" i="1"/>
  <c r="O6" i="1"/>
  <c r="F8" i="9"/>
  <c r="E8" i="9"/>
  <c r="D9" i="9"/>
  <c r="K7" i="9"/>
  <c r="G7" i="9"/>
  <c r="K7" i="8"/>
  <c r="G7" i="8"/>
  <c r="J8" i="8" s="1"/>
  <c r="F8" i="8"/>
  <c r="E8" i="8"/>
  <c r="D9" i="8"/>
  <c r="F8" i="7"/>
  <c r="E8" i="7"/>
  <c r="D9" i="7"/>
  <c r="G7" i="7"/>
  <c r="J7" i="7" s="1"/>
  <c r="K7" i="7"/>
  <c r="D9" i="6"/>
  <c r="E8" i="6"/>
  <c r="F8" i="6"/>
  <c r="K7" i="6"/>
  <c r="G7" i="6"/>
  <c r="K7" i="5"/>
  <c r="G7" i="5"/>
  <c r="D9" i="5"/>
  <c r="E8" i="5"/>
  <c r="F8" i="5"/>
  <c r="D9" i="4"/>
  <c r="F8" i="4"/>
  <c r="E8" i="4"/>
  <c r="K7" i="4"/>
  <c r="G7" i="4"/>
  <c r="D9" i="3"/>
  <c r="F8" i="3"/>
  <c r="E8" i="3"/>
  <c r="K7" i="3"/>
  <c r="G7" i="3"/>
  <c r="J7" i="3" s="1"/>
  <c r="N7" i="3" s="1"/>
  <c r="K7" i="2"/>
  <c r="G7" i="2"/>
  <c r="J7" i="2" s="1"/>
  <c r="D9" i="2"/>
  <c r="E8" i="2"/>
  <c r="F8" i="2"/>
  <c r="D9" i="1"/>
  <c r="E8" i="1"/>
  <c r="F8" i="1"/>
  <c r="K7" i="1"/>
  <c r="G7" i="1"/>
  <c r="J7" i="1" s="1"/>
  <c r="O6" i="2" l="1"/>
  <c r="N7" i="4"/>
  <c r="F9" i="9"/>
  <c r="E9" i="9"/>
  <c r="D10" i="9"/>
  <c r="N7" i="9"/>
  <c r="G8" i="9"/>
  <c r="K8" i="9"/>
  <c r="O7" i="8"/>
  <c r="K8" i="8"/>
  <c r="G8" i="8"/>
  <c r="E9" i="8"/>
  <c r="F9" i="8"/>
  <c r="D10" i="8"/>
  <c r="F9" i="7"/>
  <c r="E9" i="7"/>
  <c r="D10" i="7"/>
  <c r="K8" i="7"/>
  <c r="G8" i="7"/>
  <c r="J8" i="7" s="1"/>
  <c r="N7" i="6"/>
  <c r="K8" i="6"/>
  <c r="G8" i="6"/>
  <c r="E9" i="6"/>
  <c r="D10" i="6"/>
  <c r="F9" i="6"/>
  <c r="E9" i="5"/>
  <c r="D10" i="5"/>
  <c r="F9" i="5"/>
  <c r="N7" i="5"/>
  <c r="K8" i="5"/>
  <c r="G8" i="5"/>
  <c r="K8" i="4"/>
  <c r="G8" i="4"/>
  <c r="N8" i="4" s="1"/>
  <c r="D10" i="4"/>
  <c r="E9" i="4"/>
  <c r="F9" i="4"/>
  <c r="K8" i="3"/>
  <c r="G8" i="3"/>
  <c r="J8" i="3" s="1"/>
  <c r="N8" i="3" s="1"/>
  <c r="E9" i="3"/>
  <c r="D10" i="3"/>
  <c r="F9" i="3"/>
  <c r="K8" i="2"/>
  <c r="G8" i="2"/>
  <c r="J8" i="2" s="1"/>
  <c r="N7" i="2"/>
  <c r="D10" i="2"/>
  <c r="F9" i="2"/>
  <c r="E9" i="2"/>
  <c r="K8" i="1"/>
  <c r="G8" i="1"/>
  <c r="J8" i="1" s="1"/>
  <c r="N7" i="1"/>
  <c r="O7" i="1" s="1"/>
  <c r="D10" i="1"/>
  <c r="F9" i="1"/>
  <c r="E9" i="1"/>
  <c r="O7" i="5" l="1"/>
  <c r="N8" i="8"/>
  <c r="O8" i="8" s="1"/>
  <c r="J9" i="8"/>
  <c r="N8" i="9"/>
  <c r="O8" i="9" s="1"/>
  <c r="K9" i="9"/>
  <c r="G9" i="9"/>
  <c r="O7" i="9"/>
  <c r="D11" i="9"/>
  <c r="F10" i="9"/>
  <c r="E10" i="9"/>
  <c r="D11" i="8"/>
  <c r="F10" i="8"/>
  <c r="E10" i="8"/>
  <c r="K9" i="8"/>
  <c r="G9" i="8"/>
  <c r="D11" i="7"/>
  <c r="F10" i="7"/>
  <c r="E10" i="7"/>
  <c r="O8" i="7"/>
  <c r="G9" i="7"/>
  <c r="J9" i="7" s="1"/>
  <c r="K9" i="7"/>
  <c r="O7" i="7"/>
  <c r="F10" i="6"/>
  <c r="E10" i="6"/>
  <c r="D11" i="6"/>
  <c r="K9" i="6"/>
  <c r="G9" i="6"/>
  <c r="O7" i="6"/>
  <c r="N8" i="6"/>
  <c r="O8" i="6" s="1"/>
  <c r="N8" i="5"/>
  <c r="F10" i="5"/>
  <c r="E10" i="5"/>
  <c r="D11" i="5"/>
  <c r="K9" i="5"/>
  <c r="G9" i="5"/>
  <c r="K9" i="4"/>
  <c r="G9" i="4"/>
  <c r="F10" i="4"/>
  <c r="E10" i="4"/>
  <c r="D11" i="4"/>
  <c r="O7" i="4"/>
  <c r="K9" i="3"/>
  <c r="G9" i="3"/>
  <c r="J9" i="3" s="1"/>
  <c r="N9" i="3" s="1"/>
  <c r="F10" i="3"/>
  <c r="E10" i="3"/>
  <c r="D11" i="3"/>
  <c r="F10" i="2"/>
  <c r="E10" i="2"/>
  <c r="D11" i="2"/>
  <c r="O7" i="2"/>
  <c r="N8" i="2"/>
  <c r="G9" i="2"/>
  <c r="J9" i="2" s="1"/>
  <c r="K9" i="2"/>
  <c r="N8" i="1"/>
  <c r="K9" i="1"/>
  <c r="G9" i="1"/>
  <c r="J9" i="1" s="1"/>
  <c r="F10" i="1"/>
  <c r="E10" i="1"/>
  <c r="D11" i="1"/>
  <c r="O8" i="1" l="1"/>
  <c r="N9" i="4"/>
  <c r="O9" i="4" s="1"/>
  <c r="N9" i="8"/>
  <c r="O9" i="8" s="1"/>
  <c r="J10" i="8"/>
  <c r="K10" i="9"/>
  <c r="G10" i="9"/>
  <c r="N9" i="9"/>
  <c r="F11" i="9"/>
  <c r="E11" i="9"/>
  <c r="D12" i="9"/>
  <c r="E11" i="8"/>
  <c r="D12" i="8"/>
  <c r="F11" i="8"/>
  <c r="K10" i="8"/>
  <c r="G10" i="8"/>
  <c r="J11" i="8" s="1"/>
  <c r="E11" i="7"/>
  <c r="F11" i="7"/>
  <c r="D12" i="7"/>
  <c r="K10" i="7"/>
  <c r="G10" i="7"/>
  <c r="J10" i="7" s="1"/>
  <c r="F11" i="6"/>
  <c r="D12" i="6"/>
  <c r="E11" i="6"/>
  <c r="G10" i="6"/>
  <c r="K10" i="6"/>
  <c r="N9" i="6"/>
  <c r="O9" i="6"/>
  <c r="G10" i="5"/>
  <c r="K10" i="5"/>
  <c r="N9" i="5"/>
  <c r="O9" i="5" s="1"/>
  <c r="O8" i="5"/>
  <c r="D12" i="5"/>
  <c r="F11" i="5"/>
  <c r="E11" i="5"/>
  <c r="F11" i="4"/>
  <c r="E11" i="4"/>
  <c r="D12" i="4"/>
  <c r="G10" i="4"/>
  <c r="N10" i="4" s="1"/>
  <c r="K10" i="4"/>
  <c r="O8" i="4"/>
  <c r="F11" i="3"/>
  <c r="E11" i="3"/>
  <c r="D12" i="3"/>
  <c r="O8" i="3"/>
  <c r="G10" i="3"/>
  <c r="J10" i="3" s="1"/>
  <c r="K10" i="3"/>
  <c r="O9" i="3"/>
  <c r="O8" i="2"/>
  <c r="F11" i="2"/>
  <c r="E11" i="2"/>
  <c r="D12" i="2"/>
  <c r="G10" i="2"/>
  <c r="J10" i="2" s="1"/>
  <c r="K10" i="2"/>
  <c r="N9" i="2"/>
  <c r="F11" i="1"/>
  <c r="E11" i="1"/>
  <c r="D12" i="1"/>
  <c r="G10" i="1"/>
  <c r="J10" i="1" s="1"/>
  <c r="K10" i="1"/>
  <c r="N9" i="1"/>
  <c r="N10" i="3" l="1"/>
  <c r="N10" i="8"/>
  <c r="F12" i="9"/>
  <c r="E12" i="9"/>
  <c r="D13" i="9"/>
  <c r="N10" i="9"/>
  <c r="G11" i="9"/>
  <c r="K11" i="9"/>
  <c r="O9" i="9"/>
  <c r="O10" i="8"/>
  <c r="F12" i="8"/>
  <c r="E12" i="8"/>
  <c r="D13" i="8"/>
  <c r="K11" i="8"/>
  <c r="G11" i="8"/>
  <c r="O9" i="7"/>
  <c r="F12" i="7"/>
  <c r="E12" i="7"/>
  <c r="D13" i="7"/>
  <c r="G11" i="7"/>
  <c r="J11" i="7" s="1"/>
  <c r="K11" i="7"/>
  <c r="O10" i="7"/>
  <c r="N10" i="6"/>
  <c r="D13" i="6"/>
  <c r="E12" i="6"/>
  <c r="F12" i="6"/>
  <c r="K11" i="6"/>
  <c r="G11" i="6"/>
  <c r="K11" i="5"/>
  <c r="G11" i="5"/>
  <c r="E12" i="5"/>
  <c r="F12" i="5"/>
  <c r="D13" i="5"/>
  <c r="N10" i="5"/>
  <c r="K11" i="4"/>
  <c r="G11" i="4"/>
  <c r="N11" i="4" s="1"/>
  <c r="D13" i="4"/>
  <c r="F12" i="4"/>
  <c r="E12" i="4"/>
  <c r="K11" i="3"/>
  <c r="G11" i="3"/>
  <c r="J11" i="3" s="1"/>
  <c r="N11" i="3" s="1"/>
  <c r="F12" i="3"/>
  <c r="E12" i="3"/>
  <c r="D13" i="3"/>
  <c r="N10" i="2"/>
  <c r="O10" i="2" s="1"/>
  <c r="D13" i="2"/>
  <c r="F12" i="2"/>
  <c r="E12" i="2"/>
  <c r="K11" i="2"/>
  <c r="G11" i="2"/>
  <c r="J11" i="2" s="1"/>
  <c r="O9" i="2"/>
  <c r="O9" i="1"/>
  <c r="K11" i="1"/>
  <c r="G11" i="1"/>
  <c r="J11" i="1" s="1"/>
  <c r="N10" i="1"/>
  <c r="O10" i="1" s="1"/>
  <c r="E12" i="1"/>
  <c r="D13" i="1"/>
  <c r="F12" i="1"/>
  <c r="O11" i="3" l="1"/>
  <c r="N11" i="8"/>
  <c r="J12" i="8"/>
  <c r="N11" i="9"/>
  <c r="O10" i="9"/>
  <c r="K12" i="9"/>
  <c r="G12" i="9"/>
  <c r="O36" i="9" s="1"/>
  <c r="F13" i="9"/>
  <c r="E13" i="9"/>
  <c r="D14" i="9"/>
  <c r="O11" i="8"/>
  <c r="F13" i="8"/>
  <c r="E13" i="8"/>
  <c r="D14" i="8"/>
  <c r="K12" i="8"/>
  <c r="G12" i="8"/>
  <c r="O11" i="7"/>
  <c r="K12" i="7"/>
  <c r="G12" i="7"/>
  <c r="J12" i="7" s="1"/>
  <c r="D14" i="7"/>
  <c r="F13" i="7"/>
  <c r="E13" i="7"/>
  <c r="N11" i="6"/>
  <c r="E13" i="6"/>
  <c r="D14" i="6"/>
  <c r="F13" i="6"/>
  <c r="O10" i="6"/>
  <c r="K12" i="6"/>
  <c r="G12" i="6"/>
  <c r="K12" i="5"/>
  <c r="G12" i="5"/>
  <c r="N11" i="5"/>
  <c r="O11" i="5" s="1"/>
  <c r="O10" i="5"/>
  <c r="D14" i="5"/>
  <c r="F13" i="5"/>
  <c r="E13" i="5"/>
  <c r="F13" i="4"/>
  <c r="E13" i="4"/>
  <c r="D14" i="4"/>
  <c r="O10" i="4"/>
  <c r="K12" i="4"/>
  <c r="G12" i="4"/>
  <c r="O11" i="4"/>
  <c r="O10" i="3"/>
  <c r="K12" i="3"/>
  <c r="G12" i="3"/>
  <c r="J12" i="3" s="1"/>
  <c r="F13" i="3"/>
  <c r="E13" i="3"/>
  <c r="D14" i="3"/>
  <c r="K12" i="2"/>
  <c r="G12" i="2"/>
  <c r="F13" i="2"/>
  <c r="E13" i="2"/>
  <c r="D14" i="2"/>
  <c r="N11" i="2"/>
  <c r="O11" i="2" s="1"/>
  <c r="G12" i="1"/>
  <c r="J12" i="1" s="1"/>
  <c r="K12" i="1"/>
  <c r="N11" i="1"/>
  <c r="D14" i="1"/>
  <c r="E13" i="1"/>
  <c r="F13" i="1"/>
  <c r="N12" i="3" l="1"/>
  <c r="X10" i="2"/>
  <c r="J12" i="2"/>
  <c r="N12" i="4"/>
  <c r="Q9" i="4" s="1"/>
  <c r="N12" i="8"/>
  <c r="P44" i="8" s="1"/>
  <c r="J13" i="8"/>
  <c r="P43" i="8"/>
  <c r="F14" i="9"/>
  <c r="E14" i="9"/>
  <c r="D15" i="9"/>
  <c r="O11" i="9"/>
  <c r="K13" i="9"/>
  <c r="G13" i="9"/>
  <c r="N12" i="9"/>
  <c r="O12" i="8"/>
  <c r="P42" i="8" s="1"/>
  <c r="F14" i="8"/>
  <c r="E14" i="8"/>
  <c r="D15" i="8"/>
  <c r="K13" i="8"/>
  <c r="G13" i="8"/>
  <c r="J14" i="8" s="1"/>
  <c r="F14" i="7"/>
  <c r="E14" i="7"/>
  <c r="D15" i="7"/>
  <c r="K13" i="7"/>
  <c r="G13" i="7"/>
  <c r="J13" i="7" s="1"/>
  <c r="N12" i="6"/>
  <c r="D15" i="6"/>
  <c r="F14" i="6"/>
  <c r="E14" i="6"/>
  <c r="G13" i="6"/>
  <c r="W10" i="6" s="1"/>
  <c r="K13" i="6"/>
  <c r="O11" i="6"/>
  <c r="D15" i="5"/>
  <c r="F14" i="5"/>
  <c r="E14" i="5"/>
  <c r="N12" i="5"/>
  <c r="Q9" i="5" s="1"/>
  <c r="G13" i="5"/>
  <c r="K13" i="5"/>
  <c r="F14" i="4"/>
  <c r="E14" i="4"/>
  <c r="D15" i="4"/>
  <c r="K13" i="4"/>
  <c r="G13" i="4"/>
  <c r="N13" i="4" s="1"/>
  <c r="F14" i="3"/>
  <c r="E14" i="3"/>
  <c r="D15" i="3"/>
  <c r="K13" i="3"/>
  <c r="G13" i="3"/>
  <c r="J13" i="3" s="1"/>
  <c r="N13" i="3" s="1"/>
  <c r="O12" i="3"/>
  <c r="K13" i="2"/>
  <c r="G13" i="2"/>
  <c r="J13" i="2" s="1"/>
  <c r="D15" i="2"/>
  <c r="F14" i="2"/>
  <c r="E14" i="2"/>
  <c r="N12" i="2"/>
  <c r="F14" i="1"/>
  <c r="E14" i="1"/>
  <c r="D15" i="1"/>
  <c r="N12" i="1"/>
  <c r="O11" i="1"/>
  <c r="K13" i="1"/>
  <c r="G13" i="1"/>
  <c r="J13" i="1" s="1"/>
  <c r="R8" i="1" s="1"/>
  <c r="X11" i="2" l="1"/>
  <c r="X10" i="1"/>
  <c r="X11" i="1" s="1"/>
  <c r="N13" i="2"/>
  <c r="O13" i="2" s="1"/>
  <c r="N13" i="8"/>
  <c r="O13" i="8"/>
  <c r="Q13" i="8"/>
  <c r="Q8" i="8"/>
  <c r="O12" i="9"/>
  <c r="O37" i="9"/>
  <c r="R13" i="9"/>
  <c r="O35" i="9"/>
  <c r="O23" i="9" s="1"/>
  <c r="N13" i="9"/>
  <c r="Q8" i="9"/>
  <c r="Q9" i="9"/>
  <c r="D16" i="9"/>
  <c r="F15" i="9"/>
  <c r="E15" i="9"/>
  <c r="K14" i="9"/>
  <c r="G14" i="9"/>
  <c r="R13" i="8"/>
  <c r="O33" i="8"/>
  <c r="Q9" i="8"/>
  <c r="K14" i="8"/>
  <c r="G14" i="8"/>
  <c r="F15" i="8"/>
  <c r="E15" i="8"/>
  <c r="D16" i="8"/>
  <c r="F15" i="7"/>
  <c r="E15" i="7"/>
  <c r="D16" i="7"/>
  <c r="K14" i="7"/>
  <c r="G14" i="7"/>
  <c r="J14" i="7" s="1"/>
  <c r="O12" i="7"/>
  <c r="F15" i="6"/>
  <c r="D16" i="6"/>
  <c r="E15" i="6"/>
  <c r="Q9" i="6"/>
  <c r="O12" i="6"/>
  <c r="N13" i="6"/>
  <c r="O13" i="6" s="1"/>
  <c r="Q13" i="6" s="1"/>
  <c r="G14" i="6"/>
  <c r="K14" i="6"/>
  <c r="R9" i="5"/>
  <c r="R10" i="5" s="1"/>
  <c r="K14" i="5"/>
  <c r="G14" i="5"/>
  <c r="W10" i="5" s="1"/>
  <c r="D16" i="5"/>
  <c r="E15" i="5"/>
  <c r="F15" i="5"/>
  <c r="N13" i="5"/>
  <c r="O12" i="5"/>
  <c r="D16" i="4"/>
  <c r="E15" i="4"/>
  <c r="F15" i="4"/>
  <c r="R9" i="4"/>
  <c r="R10" i="4" s="1"/>
  <c r="K14" i="4"/>
  <c r="G14" i="4"/>
  <c r="O12" i="4"/>
  <c r="O13" i="4"/>
  <c r="S13" i="3"/>
  <c r="D16" i="3"/>
  <c r="F15" i="3"/>
  <c r="E15" i="3"/>
  <c r="K14" i="3"/>
  <c r="G14" i="3"/>
  <c r="J14" i="3" s="1"/>
  <c r="N14" i="3" s="1"/>
  <c r="O13" i="3"/>
  <c r="K14" i="2"/>
  <c r="G14" i="2"/>
  <c r="O12" i="2"/>
  <c r="D16" i="2"/>
  <c r="E15" i="2"/>
  <c r="F15" i="2"/>
  <c r="Y17" i="2"/>
  <c r="N13" i="1"/>
  <c r="R9" i="1" s="1"/>
  <c r="Y17" i="1"/>
  <c r="O13" i="1"/>
  <c r="D16" i="1"/>
  <c r="E15" i="1"/>
  <c r="F15" i="1"/>
  <c r="G14" i="1"/>
  <c r="K14" i="1"/>
  <c r="O12" i="1"/>
  <c r="R13" i="2" l="1"/>
  <c r="J14" i="2"/>
  <c r="N14" i="2" s="1"/>
  <c r="J14" i="1"/>
  <c r="N14" i="1" s="1"/>
  <c r="O14" i="1" s="1"/>
  <c r="X13" i="1"/>
  <c r="X12" i="1"/>
  <c r="R13" i="1"/>
  <c r="X14" i="1"/>
  <c r="X15" i="1" s="1"/>
  <c r="Y21" i="1"/>
  <c r="Y18" i="1"/>
  <c r="Y19" i="1"/>
  <c r="N14" i="4"/>
  <c r="W11" i="4" s="1"/>
  <c r="W10" i="4"/>
  <c r="N14" i="8"/>
  <c r="J15" i="8"/>
  <c r="D17" i="9"/>
  <c r="F16" i="9"/>
  <c r="E16" i="9"/>
  <c r="O40" i="9"/>
  <c r="P40" i="9" s="1"/>
  <c r="O39" i="9"/>
  <c r="P39" i="9" s="1"/>
  <c r="O38" i="9"/>
  <c r="P38" i="9" s="1"/>
  <c r="P37" i="9"/>
  <c r="O13" i="9"/>
  <c r="K15" i="9"/>
  <c r="G15" i="9"/>
  <c r="N14" i="9"/>
  <c r="O14" i="8"/>
  <c r="S13" i="8"/>
  <c r="D17" i="8"/>
  <c r="F16" i="8"/>
  <c r="E16" i="8"/>
  <c r="K15" i="8"/>
  <c r="G15" i="8"/>
  <c r="X11" i="7"/>
  <c r="W14" i="7"/>
  <c r="X14" i="7" s="1"/>
  <c r="W13" i="7"/>
  <c r="X13" i="7" s="1"/>
  <c r="W12" i="7"/>
  <c r="X12" i="7" s="1"/>
  <c r="O14" i="7"/>
  <c r="O13" i="7"/>
  <c r="D17" i="7"/>
  <c r="F16" i="7"/>
  <c r="E16" i="7"/>
  <c r="W9" i="7"/>
  <c r="R13" i="7"/>
  <c r="S13" i="7" s="1"/>
  <c r="K15" i="7"/>
  <c r="G15" i="7"/>
  <c r="J15" i="7" s="1"/>
  <c r="R9" i="7"/>
  <c r="R10" i="7" s="1"/>
  <c r="R13" i="6"/>
  <c r="S13" i="6" s="1"/>
  <c r="W9" i="6"/>
  <c r="Q8" i="6"/>
  <c r="K15" i="6"/>
  <c r="G15" i="6"/>
  <c r="W11" i="6"/>
  <c r="F16" i="6"/>
  <c r="E16" i="6"/>
  <c r="D17" i="6"/>
  <c r="N14" i="6"/>
  <c r="O14" i="6" s="1"/>
  <c r="R9" i="6"/>
  <c r="R10" i="6" s="1"/>
  <c r="F16" i="5"/>
  <c r="E16" i="5"/>
  <c r="D17" i="5"/>
  <c r="N14" i="5"/>
  <c r="S9" i="5"/>
  <c r="S10" i="5" s="1"/>
  <c r="R13" i="5"/>
  <c r="W9" i="5"/>
  <c r="Q8" i="5"/>
  <c r="O13" i="5"/>
  <c r="K15" i="5"/>
  <c r="G15" i="5"/>
  <c r="O14" i="4"/>
  <c r="Q13" i="4" s="1"/>
  <c r="R13" i="4"/>
  <c r="W9" i="4"/>
  <c r="Q8" i="4"/>
  <c r="G15" i="4"/>
  <c r="N15" i="4" s="1"/>
  <c r="K15" i="4"/>
  <c r="W13" i="4"/>
  <c r="W12" i="4"/>
  <c r="W14" i="4"/>
  <c r="S9" i="4"/>
  <c r="S10" i="4" s="1"/>
  <c r="F16" i="4"/>
  <c r="D17" i="4"/>
  <c r="E16" i="4"/>
  <c r="K15" i="3"/>
  <c r="G15" i="3"/>
  <c r="J15" i="3" s="1"/>
  <c r="N15" i="3" s="1"/>
  <c r="O14" i="3"/>
  <c r="E16" i="3"/>
  <c r="D17" i="3"/>
  <c r="F16" i="3"/>
  <c r="E16" i="2"/>
  <c r="F16" i="2"/>
  <c r="D17" i="2"/>
  <c r="S13" i="2"/>
  <c r="Y21" i="2"/>
  <c r="Y18" i="2"/>
  <c r="Y20" i="2"/>
  <c r="Y19" i="2"/>
  <c r="S10" i="2"/>
  <c r="X13" i="2"/>
  <c r="X12" i="2"/>
  <c r="X14" i="2"/>
  <c r="K15" i="2"/>
  <c r="G15" i="2"/>
  <c r="S13" i="1"/>
  <c r="F16" i="1"/>
  <c r="E16" i="1"/>
  <c r="D17" i="1"/>
  <c r="G15" i="1"/>
  <c r="K15" i="1"/>
  <c r="Y20" i="1"/>
  <c r="O14" i="2" l="1"/>
  <c r="T13" i="2"/>
  <c r="J15" i="2"/>
  <c r="N15" i="1"/>
  <c r="J15" i="1"/>
  <c r="T13" i="1"/>
  <c r="X15" i="2"/>
  <c r="O15" i="3"/>
  <c r="X10" i="3"/>
  <c r="S13" i="4"/>
  <c r="O14" i="5"/>
  <c r="Q13" i="5" s="1"/>
  <c r="S13" i="5" s="1"/>
  <c r="W11" i="5"/>
  <c r="N15" i="8"/>
  <c r="O15" i="8" s="1"/>
  <c r="J16" i="8"/>
  <c r="R39" i="9"/>
  <c r="Q39" i="9"/>
  <c r="K16" i="9"/>
  <c r="G16" i="9"/>
  <c r="O14" i="9"/>
  <c r="O41" i="9"/>
  <c r="P41" i="9" s="1"/>
  <c r="Q41" i="9" s="1"/>
  <c r="N15" i="9"/>
  <c r="O15" i="9" s="1"/>
  <c r="Q13" i="9"/>
  <c r="S13" i="9" s="1"/>
  <c r="R38" i="9"/>
  <c r="Q38" i="9"/>
  <c r="Q40" i="9"/>
  <c r="R40" i="9"/>
  <c r="F17" i="9"/>
  <c r="E17" i="9"/>
  <c r="D18" i="9"/>
  <c r="Q44" i="8"/>
  <c r="P46" i="8"/>
  <c r="Q46" i="8" s="1"/>
  <c r="P45" i="8"/>
  <c r="Q45" i="8" s="1"/>
  <c r="P47" i="8"/>
  <c r="Q47" i="8" s="1"/>
  <c r="G16" i="8"/>
  <c r="K16" i="8"/>
  <c r="F17" i="8"/>
  <c r="E17" i="8"/>
  <c r="D18" i="8"/>
  <c r="S9" i="7"/>
  <c r="S10" i="7" s="1"/>
  <c r="F17" i="7"/>
  <c r="E17" i="7"/>
  <c r="D18" i="7"/>
  <c r="Z12" i="7"/>
  <c r="Y12" i="7"/>
  <c r="Z13" i="7"/>
  <c r="Y13" i="7"/>
  <c r="W15" i="7"/>
  <c r="X15" i="7" s="1"/>
  <c r="Y15" i="7" s="1"/>
  <c r="K16" i="7"/>
  <c r="G16" i="7"/>
  <c r="J16" i="7" s="1"/>
  <c r="Z14" i="7"/>
  <c r="Y14" i="7"/>
  <c r="S9" i="6"/>
  <c r="S10" i="6" s="1"/>
  <c r="G16" i="6"/>
  <c r="K16" i="6"/>
  <c r="N15" i="6"/>
  <c r="O15" i="6" s="1"/>
  <c r="X11" i="6"/>
  <c r="W13" i="6"/>
  <c r="X13" i="6" s="1"/>
  <c r="W12" i="6"/>
  <c r="X12" i="6" s="1"/>
  <c r="W14" i="6"/>
  <c r="X14" i="6" s="1"/>
  <c r="D18" i="6"/>
  <c r="F17" i="6"/>
  <c r="E17" i="6"/>
  <c r="G16" i="5"/>
  <c r="K16" i="5"/>
  <c r="N15" i="5"/>
  <c r="O15" i="5" s="1"/>
  <c r="D18" i="5"/>
  <c r="F17" i="5"/>
  <c r="E17" i="5"/>
  <c r="F17" i="4"/>
  <c r="E17" i="4"/>
  <c r="D18" i="4"/>
  <c r="X11" i="4"/>
  <c r="G16" i="4"/>
  <c r="N16" i="4" s="1"/>
  <c r="K16" i="4"/>
  <c r="O15" i="4"/>
  <c r="W15" i="4"/>
  <c r="F17" i="3"/>
  <c r="E17" i="3"/>
  <c r="D18" i="3"/>
  <c r="K16" i="3"/>
  <c r="G16" i="3"/>
  <c r="J16" i="3" s="1"/>
  <c r="N16" i="3" s="1"/>
  <c r="Z21" i="2"/>
  <c r="AA21" i="2"/>
  <c r="AA20" i="2"/>
  <c r="Z20" i="2"/>
  <c r="V10" i="2"/>
  <c r="V11" i="2"/>
  <c r="Y11" i="2" s="1"/>
  <c r="D18" i="2"/>
  <c r="F17" i="2"/>
  <c r="E17" i="2"/>
  <c r="T10" i="2"/>
  <c r="K16" i="2"/>
  <c r="G16" i="2"/>
  <c r="AA19" i="2"/>
  <c r="Z19" i="2"/>
  <c r="AA18" i="2"/>
  <c r="Z18" i="2"/>
  <c r="AA19" i="1"/>
  <c r="Z19" i="1"/>
  <c r="AA20" i="1"/>
  <c r="Z20" i="1"/>
  <c r="O15" i="1"/>
  <c r="Z21" i="1"/>
  <c r="AA21" i="1"/>
  <c r="F17" i="1"/>
  <c r="E17" i="1"/>
  <c r="D18" i="1"/>
  <c r="G16" i="1"/>
  <c r="K16" i="1"/>
  <c r="V10" i="1"/>
  <c r="V11" i="1"/>
  <c r="AA18" i="1"/>
  <c r="Z18" i="1"/>
  <c r="O15" i="2" l="1"/>
  <c r="J16" i="2"/>
  <c r="N16" i="2" s="1"/>
  <c r="O16" i="2" s="1"/>
  <c r="N15" i="2"/>
  <c r="J16" i="1"/>
  <c r="R13" i="3"/>
  <c r="T13" i="3" s="1"/>
  <c r="X11" i="3"/>
  <c r="X11" i="5"/>
  <c r="W14" i="5"/>
  <c r="X14" i="5" s="1"/>
  <c r="W12" i="5"/>
  <c r="W13" i="5"/>
  <c r="X13" i="5" s="1"/>
  <c r="N16" i="8"/>
  <c r="J17" i="8"/>
  <c r="R41" i="9"/>
  <c r="F18" i="9"/>
  <c r="E18" i="9"/>
  <c r="D19" i="9"/>
  <c r="N16" i="9"/>
  <c r="O16" i="9" s="1"/>
  <c r="K17" i="9"/>
  <c r="G17" i="9"/>
  <c r="O16" i="8"/>
  <c r="G17" i="8"/>
  <c r="K17" i="8"/>
  <c r="F18" i="8"/>
  <c r="E18" i="8"/>
  <c r="D19" i="8"/>
  <c r="S45" i="8"/>
  <c r="R45" i="8"/>
  <c r="S46" i="8"/>
  <c r="R46" i="8"/>
  <c r="P48" i="8"/>
  <c r="Q48" i="8" s="1"/>
  <c r="R48" i="8" s="1"/>
  <c r="S47" i="8"/>
  <c r="R47" i="8"/>
  <c r="G17" i="7"/>
  <c r="J17" i="7" s="1"/>
  <c r="K17" i="7"/>
  <c r="F18" i="7"/>
  <c r="E18" i="7"/>
  <c r="D19" i="7"/>
  <c r="Z15" i="7"/>
  <c r="Z12" i="6"/>
  <c r="Y12" i="6"/>
  <c r="Z13" i="6"/>
  <c r="Y13" i="6"/>
  <c r="Z14" i="6"/>
  <c r="Y14" i="6"/>
  <c r="E18" i="6"/>
  <c r="D19" i="6"/>
  <c r="F18" i="6"/>
  <c r="K17" i="6"/>
  <c r="G17" i="6"/>
  <c r="N16" i="6"/>
  <c r="O16" i="6" s="1"/>
  <c r="W15" i="6"/>
  <c r="X15" i="6" s="1"/>
  <c r="Y15" i="6" s="1"/>
  <c r="K17" i="5"/>
  <c r="G17" i="5"/>
  <c r="N16" i="5"/>
  <c r="O16" i="5"/>
  <c r="E18" i="5"/>
  <c r="F18" i="5"/>
  <c r="D19" i="5"/>
  <c r="X14" i="4"/>
  <c r="K17" i="4"/>
  <c r="G17" i="4"/>
  <c r="N17" i="4" s="1"/>
  <c r="X15" i="4"/>
  <c r="Y15" i="4" s="1"/>
  <c r="X12" i="4"/>
  <c r="X13" i="4"/>
  <c r="O16" i="4"/>
  <c r="D19" i="4"/>
  <c r="E18" i="4"/>
  <c r="F18" i="4"/>
  <c r="K17" i="3"/>
  <c r="G17" i="3"/>
  <c r="J17" i="3" s="1"/>
  <c r="N17" i="3" s="1"/>
  <c r="O16" i="3"/>
  <c r="D19" i="3"/>
  <c r="F18" i="3"/>
  <c r="E18" i="3"/>
  <c r="K17" i="2"/>
  <c r="G17" i="2"/>
  <c r="E18" i="2"/>
  <c r="D19" i="2"/>
  <c r="F18" i="2"/>
  <c r="Y13" i="2"/>
  <c r="Y12" i="2"/>
  <c r="Y14" i="2"/>
  <c r="Y15" i="2"/>
  <c r="Z15" i="2" s="1"/>
  <c r="D19" i="1"/>
  <c r="F18" i="1"/>
  <c r="E18" i="1"/>
  <c r="K17" i="1"/>
  <c r="G17" i="1"/>
  <c r="Y11" i="1"/>
  <c r="Y15" i="1"/>
  <c r="Z15" i="1" s="1"/>
  <c r="Y14" i="1"/>
  <c r="Y13" i="1"/>
  <c r="Y12" i="1"/>
  <c r="N17" i="2" l="1"/>
  <c r="O17" i="2" s="1"/>
  <c r="J17" i="2"/>
  <c r="N16" i="1"/>
  <c r="O16" i="1" s="1"/>
  <c r="J17" i="1"/>
  <c r="N17" i="1" s="1"/>
  <c r="O17" i="1" s="1"/>
  <c r="X14" i="3"/>
  <c r="Y14" i="3" s="1"/>
  <c r="Y11" i="3"/>
  <c r="X12" i="3"/>
  <c r="Y12" i="3" s="1"/>
  <c r="X13" i="3"/>
  <c r="Y13" i="3" s="1"/>
  <c r="S10" i="3"/>
  <c r="Z13" i="5"/>
  <c r="Y13" i="5"/>
  <c r="X12" i="5"/>
  <c r="W15" i="5"/>
  <c r="X15" i="5" s="1"/>
  <c r="Y15" i="5" s="1"/>
  <c r="Z14" i="5"/>
  <c r="Y14" i="5"/>
  <c r="N17" i="8"/>
  <c r="J18" i="8"/>
  <c r="N17" i="9"/>
  <c r="O17" i="9" s="1"/>
  <c r="K18" i="9"/>
  <c r="G18" i="9"/>
  <c r="D20" i="9"/>
  <c r="F19" i="9"/>
  <c r="E19" i="9"/>
  <c r="O17" i="8"/>
  <c r="F19" i="8"/>
  <c r="E19" i="8"/>
  <c r="D20" i="8"/>
  <c r="S48" i="8"/>
  <c r="K18" i="8"/>
  <c r="G18" i="8"/>
  <c r="D20" i="7"/>
  <c r="F19" i="7"/>
  <c r="E19" i="7"/>
  <c r="K18" i="7"/>
  <c r="G18" i="7"/>
  <c r="J18" i="7" s="1"/>
  <c r="F19" i="6"/>
  <c r="D20" i="6"/>
  <c r="E19" i="6"/>
  <c r="Z15" i="6"/>
  <c r="N17" i="6"/>
  <c r="O17" i="6" s="1"/>
  <c r="G18" i="6"/>
  <c r="K18" i="6"/>
  <c r="N17" i="5"/>
  <c r="O17" i="5" s="1"/>
  <c r="F19" i="5"/>
  <c r="D20" i="5"/>
  <c r="E19" i="5"/>
  <c r="G18" i="5"/>
  <c r="K18" i="5"/>
  <c r="K18" i="4"/>
  <c r="G18" i="4"/>
  <c r="N18" i="4" s="1"/>
  <c r="O17" i="4"/>
  <c r="Z13" i="4"/>
  <c r="Y13" i="4"/>
  <c r="Y14" i="4"/>
  <c r="Z14" i="4"/>
  <c r="E19" i="4"/>
  <c r="F19" i="4"/>
  <c r="D20" i="4"/>
  <c r="Z12" i="4"/>
  <c r="Y12" i="4"/>
  <c r="K18" i="3"/>
  <c r="G18" i="3"/>
  <c r="J18" i="3" s="1"/>
  <c r="N18" i="3" s="1"/>
  <c r="E19" i="3"/>
  <c r="F19" i="3"/>
  <c r="D20" i="3"/>
  <c r="O17" i="3"/>
  <c r="Z12" i="2"/>
  <c r="AA12" i="2"/>
  <c r="Z13" i="2"/>
  <c r="AA13" i="2"/>
  <c r="E19" i="2"/>
  <c r="D20" i="2"/>
  <c r="F19" i="2"/>
  <c r="Z14" i="2"/>
  <c r="AA14" i="2"/>
  <c r="K18" i="2"/>
  <c r="G18" i="2"/>
  <c r="AA13" i="1"/>
  <c r="Z13" i="1"/>
  <c r="Z14" i="1"/>
  <c r="AA14" i="1"/>
  <c r="Z12" i="1"/>
  <c r="AA12" i="1"/>
  <c r="K18" i="1"/>
  <c r="G18" i="1"/>
  <c r="E19" i="1"/>
  <c r="F19" i="1"/>
  <c r="D20" i="1"/>
  <c r="N18" i="2" l="1"/>
  <c r="O18" i="2" s="1"/>
  <c r="J18" i="2"/>
  <c r="J18" i="1"/>
  <c r="N18" i="1" s="1"/>
  <c r="O18" i="1" s="1"/>
  <c r="X15" i="3"/>
  <c r="Y15" i="3" s="1"/>
  <c r="Z15" i="3" s="1"/>
  <c r="AA15" i="1"/>
  <c r="AA12" i="3"/>
  <c r="Z12" i="3"/>
  <c r="Z13" i="3"/>
  <c r="AA13" i="3"/>
  <c r="AA14" i="3"/>
  <c r="Z14" i="3"/>
  <c r="Z15" i="4"/>
  <c r="Z12" i="5"/>
  <c r="Z15" i="5" s="1"/>
  <c r="Y12" i="5"/>
  <c r="N18" i="8"/>
  <c r="J19" i="8"/>
  <c r="K19" i="9"/>
  <c r="G19" i="9"/>
  <c r="F20" i="9"/>
  <c r="D21" i="9"/>
  <c r="E20" i="9"/>
  <c r="N18" i="9"/>
  <c r="O18" i="9" s="1"/>
  <c r="O18" i="8"/>
  <c r="D21" i="8"/>
  <c r="F20" i="8"/>
  <c r="E20" i="8"/>
  <c r="K19" i="8"/>
  <c r="G19" i="8"/>
  <c r="K19" i="7"/>
  <c r="G19" i="7"/>
  <c r="J19" i="7" s="1"/>
  <c r="D21" i="7"/>
  <c r="E20" i="7"/>
  <c r="F20" i="7"/>
  <c r="K19" i="6"/>
  <c r="G19" i="6"/>
  <c r="N18" i="6"/>
  <c r="O18" i="6" s="1"/>
  <c r="F20" i="6"/>
  <c r="D21" i="6"/>
  <c r="E20" i="6"/>
  <c r="K19" i="5"/>
  <c r="G19" i="5"/>
  <c r="N18" i="5"/>
  <c r="O18" i="5" s="1"/>
  <c r="F20" i="5"/>
  <c r="D21" i="5"/>
  <c r="E20" i="5"/>
  <c r="F20" i="4"/>
  <c r="E20" i="4"/>
  <c r="D21" i="4"/>
  <c r="O18" i="4"/>
  <c r="G19" i="4"/>
  <c r="N19" i="4" s="1"/>
  <c r="K19" i="4"/>
  <c r="G19" i="3"/>
  <c r="J19" i="3" s="1"/>
  <c r="N19" i="3" s="1"/>
  <c r="K19" i="3"/>
  <c r="O18" i="3"/>
  <c r="F20" i="3"/>
  <c r="E20" i="3"/>
  <c r="D21" i="3"/>
  <c r="F20" i="2"/>
  <c r="E20" i="2"/>
  <c r="D21" i="2"/>
  <c r="AA15" i="2"/>
  <c r="G19" i="2"/>
  <c r="K19" i="2"/>
  <c r="F20" i="1"/>
  <c r="E20" i="1"/>
  <c r="D21" i="1"/>
  <c r="G19" i="1"/>
  <c r="K19" i="1"/>
  <c r="N19" i="2" l="1"/>
  <c r="O19" i="2" s="1"/>
  <c r="J19" i="2"/>
  <c r="J19" i="1"/>
  <c r="N19" i="1" s="1"/>
  <c r="O19" i="1" s="1"/>
  <c r="AA15" i="3"/>
  <c r="N19" i="8"/>
  <c r="J20" i="8"/>
  <c r="D23" i="9"/>
  <c r="D22" i="9"/>
  <c r="K20" i="9"/>
  <c r="G20" i="9"/>
  <c r="N19" i="9"/>
  <c r="O19" i="9" s="1"/>
  <c r="F21" i="9"/>
  <c r="E21" i="9"/>
  <c r="O19" i="8"/>
  <c r="K20" i="8"/>
  <c r="G20" i="8"/>
  <c r="F21" i="8"/>
  <c r="E21" i="8"/>
  <c r="D22" i="8"/>
  <c r="F21" i="7"/>
  <c r="E21" i="7"/>
  <c r="D22" i="7"/>
  <c r="O19" i="7"/>
  <c r="K20" i="7"/>
  <c r="G20" i="7"/>
  <c r="J20" i="7" s="1"/>
  <c r="K20" i="6"/>
  <c r="G20" i="6"/>
  <c r="F21" i="6"/>
  <c r="E21" i="6"/>
  <c r="D22" i="6"/>
  <c r="N19" i="6"/>
  <c r="O19" i="6" s="1"/>
  <c r="F21" i="5"/>
  <c r="E21" i="5"/>
  <c r="D22" i="5"/>
  <c r="N19" i="5"/>
  <c r="O19" i="5" s="1"/>
  <c r="K20" i="5"/>
  <c r="G20" i="5"/>
  <c r="F21" i="4"/>
  <c r="E21" i="4"/>
  <c r="D22" i="4"/>
  <c r="O19" i="4"/>
  <c r="G20" i="4"/>
  <c r="N20" i="4" s="1"/>
  <c r="K20" i="4"/>
  <c r="F21" i="3"/>
  <c r="E21" i="3"/>
  <c r="D22" i="3"/>
  <c r="G20" i="3"/>
  <c r="J20" i="3" s="1"/>
  <c r="N20" i="3" s="1"/>
  <c r="K20" i="3"/>
  <c r="O19" i="3"/>
  <c r="G20" i="2"/>
  <c r="K20" i="2"/>
  <c r="F21" i="2"/>
  <c r="E21" i="2"/>
  <c r="D22" i="2"/>
  <c r="G20" i="1"/>
  <c r="K20" i="1"/>
  <c r="E21" i="1"/>
  <c r="D22" i="1"/>
  <c r="F21" i="1"/>
  <c r="N20" i="2" l="1"/>
  <c r="J20" i="2"/>
  <c r="J20" i="1"/>
  <c r="N20" i="1" s="1"/>
  <c r="O20" i="1" s="1"/>
  <c r="N20" i="8"/>
  <c r="J21" i="8"/>
  <c r="D24" i="9"/>
  <c r="E24" i="9" s="1"/>
  <c r="F22" i="9"/>
  <c r="E22" i="9"/>
  <c r="K21" i="9"/>
  <c r="G21" i="9"/>
  <c r="N20" i="9"/>
  <c r="O20" i="9" s="1"/>
  <c r="O20" i="8"/>
  <c r="G21" i="8"/>
  <c r="K21" i="8"/>
  <c r="E22" i="8"/>
  <c r="D23" i="8"/>
  <c r="F22" i="8"/>
  <c r="D23" i="7"/>
  <c r="F22" i="7"/>
  <c r="E22" i="7"/>
  <c r="O20" i="7"/>
  <c r="G21" i="7"/>
  <c r="J21" i="7" s="1"/>
  <c r="K21" i="7"/>
  <c r="D23" i="6"/>
  <c r="F22" i="6"/>
  <c r="E22" i="6"/>
  <c r="G21" i="6"/>
  <c r="W17" i="6" s="1"/>
  <c r="X17" i="6" s="1"/>
  <c r="Y17" i="6" s="1"/>
  <c r="K21" i="6"/>
  <c r="N20" i="6"/>
  <c r="O20" i="6" s="1"/>
  <c r="D23" i="5"/>
  <c r="F22" i="5"/>
  <c r="E22" i="5"/>
  <c r="N20" i="5"/>
  <c r="O20" i="5" s="1"/>
  <c r="G21" i="5"/>
  <c r="W17" i="5" s="1"/>
  <c r="X17" i="5" s="1"/>
  <c r="Y17" i="5" s="1"/>
  <c r="K21" i="5"/>
  <c r="D23" i="4"/>
  <c r="F22" i="4"/>
  <c r="E22" i="4"/>
  <c r="O20" i="4"/>
  <c r="K21" i="4"/>
  <c r="G21" i="4"/>
  <c r="D23" i="3"/>
  <c r="F22" i="3"/>
  <c r="E22" i="3"/>
  <c r="O20" i="3"/>
  <c r="K21" i="3"/>
  <c r="G21" i="3"/>
  <c r="J21" i="3" s="1"/>
  <c r="N21" i="3" s="1"/>
  <c r="O20" i="2"/>
  <c r="K21" i="2"/>
  <c r="G21" i="2"/>
  <c r="D23" i="2"/>
  <c r="F22" i="2"/>
  <c r="E22" i="2"/>
  <c r="K21" i="1"/>
  <c r="G21" i="1"/>
  <c r="F22" i="1"/>
  <c r="D23" i="1"/>
  <c r="E22" i="1"/>
  <c r="N21" i="2" l="1"/>
  <c r="O21" i="2" s="1"/>
  <c r="J21" i="2"/>
  <c r="J21" i="1"/>
  <c r="N21" i="1" s="1"/>
  <c r="O21" i="1" s="1"/>
  <c r="O21" i="3"/>
  <c r="X17" i="3"/>
  <c r="Y17" i="3" s="1"/>
  <c r="Z17" i="3" s="1"/>
  <c r="N21" i="4"/>
  <c r="W17" i="4"/>
  <c r="X17" i="4" s="1"/>
  <c r="Y17" i="4" s="1"/>
  <c r="N21" i="8"/>
  <c r="J22" i="8"/>
  <c r="J22" i="9"/>
  <c r="O24" i="9"/>
  <c r="N21" i="9"/>
  <c r="N22" i="9" s="1"/>
  <c r="K22" i="9"/>
  <c r="G22" i="9"/>
  <c r="O21" i="8"/>
  <c r="E23" i="8"/>
  <c r="D24" i="8"/>
  <c r="F23" i="8"/>
  <c r="K22" i="8"/>
  <c r="G22" i="8"/>
  <c r="P50" i="8"/>
  <c r="Q50" i="8" s="1"/>
  <c r="R50" i="8" s="1"/>
  <c r="O21" i="7"/>
  <c r="W17" i="7"/>
  <c r="X17" i="7" s="1"/>
  <c r="Y17" i="7" s="1"/>
  <c r="K22" i="7"/>
  <c r="G22" i="7"/>
  <c r="J22" i="7" s="1"/>
  <c r="E23" i="7"/>
  <c r="F23" i="7"/>
  <c r="D24" i="7"/>
  <c r="N21" i="6"/>
  <c r="O21" i="6"/>
  <c r="K22" i="6"/>
  <c r="G22" i="6"/>
  <c r="E23" i="6"/>
  <c r="D24" i="6"/>
  <c r="F23" i="6"/>
  <c r="K22" i="5"/>
  <c r="G22" i="5"/>
  <c r="N21" i="5"/>
  <c r="O21" i="5" s="1"/>
  <c r="E23" i="5"/>
  <c r="D24" i="5"/>
  <c r="F23" i="5"/>
  <c r="K22" i="4"/>
  <c r="G22" i="4"/>
  <c r="N22" i="4" s="1"/>
  <c r="O21" i="4"/>
  <c r="E23" i="4"/>
  <c r="F23" i="4"/>
  <c r="D24" i="4"/>
  <c r="K22" i="3"/>
  <c r="G22" i="3"/>
  <c r="J22" i="3" s="1"/>
  <c r="N22" i="3" s="1"/>
  <c r="E23" i="3"/>
  <c r="D24" i="3"/>
  <c r="F23" i="3"/>
  <c r="K22" i="2"/>
  <c r="G22" i="2"/>
  <c r="E23" i="2"/>
  <c r="F23" i="2"/>
  <c r="D24" i="2"/>
  <c r="E23" i="1"/>
  <c r="D24" i="1"/>
  <c r="F23" i="1"/>
  <c r="K22" i="1"/>
  <c r="G22" i="1"/>
  <c r="J22" i="2" l="1"/>
  <c r="N22" i="2" s="1"/>
  <c r="O22" i="2" s="1"/>
  <c r="N22" i="1"/>
  <c r="O22" i="1" s="1"/>
  <c r="J22" i="1"/>
  <c r="N22" i="8"/>
  <c r="O22" i="8" s="1"/>
  <c r="J23" i="8"/>
  <c r="O21" i="9"/>
  <c r="F24" i="8"/>
  <c r="E24" i="8"/>
  <c r="D25" i="8"/>
  <c r="K23" i="8"/>
  <c r="G23" i="8"/>
  <c r="E24" i="7"/>
  <c r="D25" i="7"/>
  <c r="F24" i="7"/>
  <c r="G23" i="7"/>
  <c r="J23" i="7" s="1"/>
  <c r="K23" i="7"/>
  <c r="O22" i="7"/>
  <c r="N22" i="6"/>
  <c r="O22" i="6" s="1"/>
  <c r="G23" i="6"/>
  <c r="K23" i="6"/>
  <c r="D25" i="6"/>
  <c r="F24" i="6"/>
  <c r="E24" i="6"/>
  <c r="D25" i="5"/>
  <c r="F24" i="5"/>
  <c r="E24" i="5"/>
  <c r="K23" i="5"/>
  <c r="G23" i="5"/>
  <c r="N22" i="5"/>
  <c r="O22" i="5" s="1"/>
  <c r="F24" i="4"/>
  <c r="E24" i="4"/>
  <c r="D25" i="4"/>
  <c r="G23" i="4"/>
  <c r="N23" i="4" s="1"/>
  <c r="K23" i="4"/>
  <c r="O22" i="4"/>
  <c r="D25" i="3"/>
  <c r="F24" i="3"/>
  <c r="E24" i="3"/>
  <c r="O22" i="3"/>
  <c r="G23" i="3"/>
  <c r="J23" i="3" s="1"/>
  <c r="N23" i="3" s="1"/>
  <c r="K23" i="3"/>
  <c r="F24" i="2"/>
  <c r="E24" i="2"/>
  <c r="D25" i="2"/>
  <c r="K23" i="2"/>
  <c r="G23" i="2"/>
  <c r="D25" i="1"/>
  <c r="F24" i="1"/>
  <c r="E24" i="1"/>
  <c r="K23" i="1"/>
  <c r="G23" i="1"/>
  <c r="J23" i="2" l="1"/>
  <c r="N23" i="2" s="1"/>
  <c r="O23" i="2" s="1"/>
  <c r="J23" i="1"/>
  <c r="N23" i="1" s="1"/>
  <c r="O23" i="1" s="1"/>
  <c r="N23" i="8"/>
  <c r="J24" i="8"/>
  <c r="O22" i="9"/>
  <c r="O25" i="9"/>
  <c r="O23" i="8"/>
  <c r="D26" i="8"/>
  <c r="F25" i="8"/>
  <c r="E25" i="8"/>
  <c r="K24" i="8"/>
  <c r="G24" i="8"/>
  <c r="D26" i="7"/>
  <c r="E25" i="7"/>
  <c r="F25" i="7"/>
  <c r="O23" i="7"/>
  <c r="K24" i="7"/>
  <c r="G24" i="7"/>
  <c r="J24" i="7" s="1"/>
  <c r="K24" i="6"/>
  <c r="G24" i="6"/>
  <c r="N23" i="6"/>
  <c r="O23" i="6" s="1"/>
  <c r="F25" i="6"/>
  <c r="D26" i="6"/>
  <c r="E25" i="6"/>
  <c r="K24" i="5"/>
  <c r="G24" i="5"/>
  <c r="N23" i="5"/>
  <c r="O23" i="5" s="1"/>
  <c r="D26" i="5"/>
  <c r="F25" i="5"/>
  <c r="E25" i="5"/>
  <c r="F25" i="4"/>
  <c r="D26" i="4"/>
  <c r="E25" i="4"/>
  <c r="K24" i="4"/>
  <c r="G24" i="4"/>
  <c r="N24" i="4" s="1"/>
  <c r="O23" i="4"/>
  <c r="K24" i="3"/>
  <c r="G24" i="3"/>
  <c r="J24" i="3" s="1"/>
  <c r="N24" i="3" s="1"/>
  <c r="O23" i="3"/>
  <c r="D26" i="3"/>
  <c r="F25" i="3"/>
  <c r="E25" i="3"/>
  <c r="E25" i="2"/>
  <c r="D26" i="2"/>
  <c r="F25" i="2"/>
  <c r="K24" i="2"/>
  <c r="G24" i="2"/>
  <c r="G24" i="1"/>
  <c r="K24" i="1"/>
  <c r="D26" i="1"/>
  <c r="F25" i="1"/>
  <c r="E25" i="1"/>
  <c r="J24" i="2" l="1"/>
  <c r="N24" i="2" s="1"/>
  <c r="O24" i="2" s="1"/>
  <c r="J24" i="1"/>
  <c r="N24" i="1" s="1"/>
  <c r="O24" i="1" s="1"/>
  <c r="N24" i="8"/>
  <c r="O24" i="8" s="1"/>
  <c r="J25" i="8"/>
  <c r="F26" i="8"/>
  <c r="E26" i="8"/>
  <c r="D27" i="8"/>
  <c r="D32" i="8"/>
  <c r="D34" i="8" s="1"/>
  <c r="D35" i="8"/>
  <c r="E35" i="8" s="1"/>
  <c r="K25" i="8"/>
  <c r="G25" i="8"/>
  <c r="O24" i="7"/>
  <c r="K25" i="7"/>
  <c r="G25" i="7"/>
  <c r="J25" i="7" s="1"/>
  <c r="F26" i="7"/>
  <c r="E26" i="7"/>
  <c r="D27" i="7"/>
  <c r="D32" i="7"/>
  <c r="D34" i="7" s="1"/>
  <c r="D35" i="7"/>
  <c r="E35" i="7" s="1"/>
  <c r="G25" i="6"/>
  <c r="K25" i="6"/>
  <c r="N24" i="6"/>
  <c r="O24" i="6" s="1"/>
  <c r="F26" i="6"/>
  <c r="E26" i="6"/>
  <c r="D27" i="6"/>
  <c r="D35" i="6"/>
  <c r="E35" i="6" s="1"/>
  <c r="D32" i="6"/>
  <c r="D34" i="6" s="1"/>
  <c r="F26" i="5"/>
  <c r="E26" i="5"/>
  <c r="D27" i="5"/>
  <c r="D35" i="5"/>
  <c r="E35" i="5" s="1"/>
  <c r="D32" i="5"/>
  <c r="D34" i="5" s="1"/>
  <c r="N24" i="5"/>
  <c r="O24" i="5" s="1"/>
  <c r="G25" i="5"/>
  <c r="K25" i="5"/>
  <c r="G25" i="4"/>
  <c r="N25" i="4" s="1"/>
  <c r="K25" i="4"/>
  <c r="D27" i="4"/>
  <c r="F26" i="4"/>
  <c r="E26" i="4"/>
  <c r="D35" i="4"/>
  <c r="E35" i="4" s="1"/>
  <c r="D32" i="4"/>
  <c r="D34" i="4" s="1"/>
  <c r="O24" i="4"/>
  <c r="K25" i="3"/>
  <c r="G25" i="3"/>
  <c r="J25" i="3" s="1"/>
  <c r="N25" i="3" s="1"/>
  <c r="O24" i="3"/>
  <c r="F26" i="3"/>
  <c r="E26" i="3"/>
  <c r="D27" i="3"/>
  <c r="D35" i="3"/>
  <c r="E35" i="3" s="1"/>
  <c r="D32" i="3"/>
  <c r="D34" i="3" s="1"/>
  <c r="F26" i="2"/>
  <c r="E26" i="2"/>
  <c r="D27" i="2"/>
  <c r="D35" i="2"/>
  <c r="E35" i="2" s="1"/>
  <c r="D32" i="2"/>
  <c r="D34" i="2" s="1"/>
  <c r="G25" i="2"/>
  <c r="K25" i="2"/>
  <c r="K25" i="1"/>
  <c r="G25" i="1"/>
  <c r="D27" i="1"/>
  <c r="F26" i="1"/>
  <c r="E26" i="1"/>
  <c r="D35" i="1"/>
  <c r="E35" i="1" s="1"/>
  <c r="D32" i="1"/>
  <c r="D34" i="1" s="1"/>
  <c r="N25" i="2" l="1"/>
  <c r="J25" i="2"/>
  <c r="J25" i="1"/>
  <c r="N25" i="1" s="1"/>
  <c r="O25" i="1" s="1"/>
  <c r="N25" i="8"/>
  <c r="J26" i="8"/>
  <c r="O25" i="8"/>
  <c r="G26" i="8"/>
  <c r="K26" i="8"/>
  <c r="K34" i="8" s="1"/>
  <c r="D28" i="8"/>
  <c r="F27" i="8"/>
  <c r="E27" i="8"/>
  <c r="K26" i="7"/>
  <c r="K34" i="7" s="1"/>
  <c r="G26" i="7"/>
  <c r="J26" i="7" s="1"/>
  <c r="D28" i="7"/>
  <c r="F27" i="7"/>
  <c r="E27" i="7"/>
  <c r="O25" i="7"/>
  <c r="K26" i="6"/>
  <c r="K34" i="6" s="1"/>
  <c r="G26" i="6"/>
  <c r="E27" i="6"/>
  <c r="D28" i="6"/>
  <c r="F27" i="6"/>
  <c r="N25" i="6"/>
  <c r="O25" i="6" s="1"/>
  <c r="D28" i="5"/>
  <c r="E27" i="5"/>
  <c r="F27" i="5"/>
  <c r="N25" i="5"/>
  <c r="O25" i="5" s="1"/>
  <c r="K26" i="5"/>
  <c r="K34" i="5" s="1"/>
  <c r="G26" i="5"/>
  <c r="D28" i="4"/>
  <c r="E27" i="4"/>
  <c r="F27" i="4"/>
  <c r="K26" i="4"/>
  <c r="K34" i="4" s="1"/>
  <c r="G26" i="4"/>
  <c r="N26" i="4" s="1"/>
  <c r="O25" i="4"/>
  <c r="D28" i="3"/>
  <c r="F27" i="3"/>
  <c r="E27" i="3"/>
  <c r="O25" i="3"/>
  <c r="K26" i="3"/>
  <c r="K34" i="3" s="1"/>
  <c r="G26" i="3"/>
  <c r="J26" i="3" s="1"/>
  <c r="N26" i="3" s="1"/>
  <c r="O25" i="2"/>
  <c r="E27" i="2"/>
  <c r="D28" i="2"/>
  <c r="F27" i="2"/>
  <c r="K26" i="2"/>
  <c r="K34" i="2" s="1"/>
  <c r="G26" i="2"/>
  <c r="F27" i="1"/>
  <c r="E27" i="1"/>
  <c r="D28" i="1"/>
  <c r="K26" i="1"/>
  <c r="K34" i="1" s="1"/>
  <c r="G26" i="1"/>
  <c r="J26" i="2" l="1"/>
  <c r="N26" i="2" s="1"/>
  <c r="O26" i="2" s="1"/>
  <c r="O34" i="2" s="1"/>
  <c r="J26" i="1"/>
  <c r="N26" i="1" s="1"/>
  <c r="O26" i="1" s="1"/>
  <c r="O34" i="1" s="1"/>
  <c r="N26" i="8"/>
  <c r="J27" i="8"/>
  <c r="O26" i="8"/>
  <c r="K27" i="8"/>
  <c r="G27" i="8"/>
  <c r="F28" i="8"/>
  <c r="E28" i="8"/>
  <c r="D29" i="8"/>
  <c r="F28" i="7"/>
  <c r="E28" i="7"/>
  <c r="D29" i="7"/>
  <c r="O26" i="7"/>
  <c r="O34" i="7" s="1"/>
  <c r="K27" i="7"/>
  <c r="G27" i="7"/>
  <c r="J27" i="7" s="1"/>
  <c r="F28" i="6"/>
  <c r="E28" i="6"/>
  <c r="D29" i="6"/>
  <c r="K27" i="6"/>
  <c r="G27" i="6"/>
  <c r="N26" i="6"/>
  <c r="O26" i="6"/>
  <c r="O34" i="6" s="1"/>
  <c r="N26" i="5"/>
  <c r="O26" i="5" s="1"/>
  <c r="O34" i="5" s="1"/>
  <c r="K27" i="5"/>
  <c r="G27" i="5"/>
  <c r="F28" i="5"/>
  <c r="E28" i="5"/>
  <c r="D29" i="5"/>
  <c r="K27" i="4"/>
  <c r="G27" i="4"/>
  <c r="N27" i="4" s="1"/>
  <c r="O26" i="4"/>
  <c r="O34" i="4" s="1"/>
  <c r="F28" i="4"/>
  <c r="E28" i="4"/>
  <c r="D29" i="4"/>
  <c r="O26" i="3"/>
  <c r="O34" i="3" s="1"/>
  <c r="K27" i="3"/>
  <c r="G27" i="3"/>
  <c r="J27" i="3" s="1"/>
  <c r="N27" i="3" s="1"/>
  <c r="F28" i="3"/>
  <c r="E28" i="3"/>
  <c r="D29" i="3"/>
  <c r="F28" i="2"/>
  <c r="E28" i="2"/>
  <c r="D29" i="2"/>
  <c r="K27" i="2"/>
  <c r="G27" i="2"/>
  <c r="J27" i="2" s="1"/>
  <c r="D29" i="1"/>
  <c r="F28" i="1"/>
  <c r="E28" i="1"/>
  <c r="K27" i="1"/>
  <c r="G27" i="1"/>
  <c r="J27" i="1" s="1"/>
  <c r="N27" i="1" l="1"/>
  <c r="X23" i="1"/>
  <c r="Y23" i="1" s="1"/>
  <c r="Z23" i="1" s="1"/>
  <c r="N27" i="2"/>
  <c r="O27" i="2" s="1"/>
  <c r="X23" i="2"/>
  <c r="Y23" i="2" s="1"/>
  <c r="Z23" i="2" s="1"/>
  <c r="N27" i="8"/>
  <c r="O27" i="8" s="1"/>
  <c r="J28" i="8"/>
  <c r="K28" i="8"/>
  <c r="G28" i="8"/>
  <c r="D30" i="8"/>
  <c r="F29" i="8"/>
  <c r="E29" i="8"/>
  <c r="D30" i="7"/>
  <c r="F29" i="7"/>
  <c r="E29" i="7"/>
  <c r="O27" i="7"/>
  <c r="G28" i="7"/>
  <c r="J28" i="7" s="1"/>
  <c r="K28" i="7"/>
  <c r="D30" i="6"/>
  <c r="F29" i="6"/>
  <c r="E29" i="6"/>
  <c r="G28" i="6"/>
  <c r="K28" i="6"/>
  <c r="N27" i="6"/>
  <c r="O27" i="6" s="1"/>
  <c r="D30" i="5"/>
  <c r="F29" i="5"/>
  <c r="E29" i="5"/>
  <c r="G28" i="5"/>
  <c r="K28" i="5"/>
  <c r="N27" i="5"/>
  <c r="O27" i="5" s="1"/>
  <c r="D30" i="4"/>
  <c r="F29" i="4"/>
  <c r="E29" i="4"/>
  <c r="G28" i="4"/>
  <c r="N28" i="4" s="1"/>
  <c r="K28" i="4"/>
  <c r="O27" i="4"/>
  <c r="G28" i="3"/>
  <c r="J28" i="3" s="1"/>
  <c r="N28" i="3" s="1"/>
  <c r="K28" i="3"/>
  <c r="O27" i="3"/>
  <c r="D30" i="3"/>
  <c r="F29" i="3"/>
  <c r="E29" i="3"/>
  <c r="D30" i="2"/>
  <c r="F29" i="2"/>
  <c r="E29" i="2"/>
  <c r="G28" i="2"/>
  <c r="K28" i="2"/>
  <c r="G28" i="1"/>
  <c r="K28" i="1"/>
  <c r="O27" i="1"/>
  <c r="D30" i="1"/>
  <c r="F29" i="1"/>
  <c r="E29" i="1"/>
  <c r="J28" i="2" l="1"/>
  <c r="N28" i="2" s="1"/>
  <c r="O28" i="2" s="1"/>
  <c r="J28" i="1"/>
  <c r="N28" i="1" s="1"/>
  <c r="O28" i="1" s="1"/>
  <c r="N28" i="8"/>
  <c r="J29" i="8"/>
  <c r="O28" i="8"/>
  <c r="K29" i="8"/>
  <c r="G29" i="8"/>
  <c r="D31" i="8"/>
  <c r="E30" i="8"/>
  <c r="F30" i="8"/>
  <c r="G29" i="7"/>
  <c r="J29" i="7" s="1"/>
  <c r="K29" i="7"/>
  <c r="O28" i="7"/>
  <c r="E30" i="7"/>
  <c r="D31" i="7"/>
  <c r="F30" i="7"/>
  <c r="N28" i="6"/>
  <c r="O28" i="6" s="1"/>
  <c r="K29" i="6"/>
  <c r="G29" i="6"/>
  <c r="E30" i="6"/>
  <c r="F30" i="6"/>
  <c r="D31" i="6"/>
  <c r="K29" i="5"/>
  <c r="G29" i="5"/>
  <c r="N28" i="5"/>
  <c r="O28" i="5" s="1"/>
  <c r="E30" i="5"/>
  <c r="F30" i="5"/>
  <c r="D31" i="5"/>
  <c r="K29" i="4"/>
  <c r="G29" i="4"/>
  <c r="N29" i="4" s="1"/>
  <c r="O28" i="4"/>
  <c r="E30" i="4"/>
  <c r="D31" i="4"/>
  <c r="F30" i="4"/>
  <c r="K29" i="3"/>
  <c r="G29" i="3"/>
  <c r="J29" i="3" s="1"/>
  <c r="N29" i="3" s="1"/>
  <c r="E30" i="3"/>
  <c r="D31" i="3"/>
  <c r="F30" i="3"/>
  <c r="O28" i="3"/>
  <c r="E30" i="2"/>
  <c r="F30" i="2"/>
  <c r="D31" i="2"/>
  <c r="K29" i="2"/>
  <c r="G29" i="2"/>
  <c r="K29" i="1"/>
  <c r="G29" i="1"/>
  <c r="E30" i="1"/>
  <c r="F30" i="1"/>
  <c r="D31" i="1"/>
  <c r="J29" i="2" l="1"/>
  <c r="N29" i="2" s="1"/>
  <c r="O29" i="2" s="1"/>
  <c r="J29" i="1"/>
  <c r="N29" i="1" s="1"/>
  <c r="O29" i="1" s="1"/>
  <c r="N29" i="8"/>
  <c r="J30" i="8"/>
  <c r="O29" i="8"/>
  <c r="K30" i="8"/>
  <c r="G30" i="8"/>
  <c r="F31" i="8"/>
  <c r="E31" i="8"/>
  <c r="E31" i="7"/>
  <c r="F31" i="7"/>
  <c r="G30" i="7"/>
  <c r="J30" i="7" s="1"/>
  <c r="K30" i="7"/>
  <c r="O29" i="7"/>
  <c r="N29" i="6"/>
  <c r="O29" i="6" s="1"/>
  <c r="F31" i="6"/>
  <c r="E31" i="6"/>
  <c r="G30" i="6"/>
  <c r="K30" i="6"/>
  <c r="K30" i="5"/>
  <c r="G30" i="5"/>
  <c r="N29" i="5"/>
  <c r="O29" i="5" s="1"/>
  <c r="F31" i="5"/>
  <c r="E31" i="5"/>
  <c r="G30" i="4"/>
  <c r="N30" i="4" s="1"/>
  <c r="K30" i="4"/>
  <c r="O29" i="4"/>
  <c r="F31" i="4"/>
  <c r="E31" i="4"/>
  <c r="K30" i="3"/>
  <c r="G30" i="3"/>
  <c r="J30" i="3" s="1"/>
  <c r="N30" i="3" s="1"/>
  <c r="O29" i="3"/>
  <c r="F31" i="3"/>
  <c r="E31" i="3"/>
  <c r="F31" i="2"/>
  <c r="E31" i="2"/>
  <c r="G30" i="2"/>
  <c r="K30" i="2"/>
  <c r="F31" i="1"/>
  <c r="E31" i="1"/>
  <c r="G30" i="1"/>
  <c r="K30" i="1"/>
  <c r="J30" i="2" l="1"/>
  <c r="N30" i="2" s="1"/>
  <c r="O30" i="2" s="1"/>
  <c r="J30" i="1"/>
  <c r="N30" i="1" s="1"/>
  <c r="O30" i="1" s="1"/>
  <c r="N30" i="8"/>
  <c r="J31" i="8"/>
  <c r="O30" i="8"/>
  <c r="K31" i="8"/>
  <c r="G31" i="8"/>
  <c r="O30" i="7"/>
  <c r="K31" i="7"/>
  <c r="G31" i="7"/>
  <c r="J31" i="7" s="1"/>
  <c r="K31" i="6"/>
  <c r="G31" i="6"/>
  <c r="N30" i="6"/>
  <c r="O30" i="6" s="1"/>
  <c r="K31" i="5"/>
  <c r="G31" i="5"/>
  <c r="N30" i="5"/>
  <c r="O30" i="5" s="1"/>
  <c r="K31" i="4"/>
  <c r="G31" i="4"/>
  <c r="N31" i="4" s="1"/>
  <c r="O30" i="4"/>
  <c r="O30" i="3"/>
  <c r="K31" i="3"/>
  <c r="G31" i="3"/>
  <c r="J31" i="3" s="1"/>
  <c r="K31" i="2"/>
  <c r="K32" i="2" s="1"/>
  <c r="G31" i="2"/>
  <c r="G31" i="1"/>
  <c r="K31" i="1"/>
  <c r="K32" i="1" s="1"/>
  <c r="N31" i="3" l="1"/>
  <c r="J32" i="3"/>
  <c r="N32" i="3" s="1"/>
  <c r="J31" i="2"/>
  <c r="J32" i="2" s="1"/>
  <c r="J31" i="1"/>
  <c r="J32" i="1" s="1"/>
  <c r="O34" i="8"/>
  <c r="N31" i="8"/>
  <c r="N32" i="8"/>
  <c r="J32" i="8"/>
  <c r="P51" i="8" s="1"/>
  <c r="J32" i="7"/>
  <c r="N31" i="6"/>
  <c r="J32" i="6"/>
  <c r="W18" i="6" s="1"/>
  <c r="N31" i="5"/>
  <c r="J32" i="5"/>
  <c r="W18" i="5" s="1"/>
  <c r="J32" i="4"/>
  <c r="X18" i="3"/>
  <c r="X24" i="2"/>
  <c r="X24" i="1"/>
  <c r="N31" i="2" l="1"/>
  <c r="N31" i="1"/>
  <c r="X25" i="1"/>
  <c r="Y24" i="1"/>
  <c r="Y24" i="2"/>
  <c r="X25" i="2"/>
  <c r="X19" i="3"/>
  <c r="Y18" i="3"/>
  <c r="N32" i="4"/>
  <c r="W18" i="4"/>
  <c r="X18" i="5"/>
  <c r="W19" i="5"/>
  <c r="X18" i="6"/>
  <c r="W19" i="6"/>
  <c r="O31" i="8"/>
  <c r="O32" i="8"/>
  <c r="O35" i="8"/>
  <c r="P52" i="8"/>
  <c r="Q51" i="8"/>
  <c r="K32" i="8"/>
  <c r="K32" i="7"/>
  <c r="N32" i="7"/>
  <c r="W19" i="7"/>
  <c r="X18" i="7"/>
  <c r="O31" i="7"/>
  <c r="K32" i="6"/>
  <c r="N32" i="6"/>
  <c r="O31" i="6"/>
  <c r="K32" i="5"/>
  <c r="N32" i="5"/>
  <c r="O31" i="5"/>
  <c r="K32" i="4"/>
  <c r="O31" i="4"/>
  <c r="K32" i="3"/>
  <c r="O31" i="3"/>
  <c r="N32" i="2"/>
  <c r="O31" i="2"/>
  <c r="N32" i="1"/>
  <c r="O31" i="1"/>
  <c r="Z24" i="1" l="1"/>
  <c r="Y25" i="1"/>
  <c r="Z24" i="2"/>
  <c r="Y25" i="2"/>
  <c r="Z18" i="3"/>
  <c r="Z19" i="3" s="1"/>
  <c r="Y19" i="3"/>
  <c r="W19" i="4"/>
  <c r="X18" i="4"/>
  <c r="Y18" i="5"/>
  <c r="Y19" i="5" s="1"/>
  <c r="X19" i="5"/>
  <c r="Y18" i="6"/>
  <c r="Y19" i="6" s="1"/>
  <c r="X19" i="6"/>
  <c r="L32" i="8"/>
  <c r="M32" i="8"/>
  <c r="Q52" i="8"/>
  <c r="R51" i="8"/>
  <c r="R52" i="8" s="1"/>
  <c r="M32" i="7"/>
  <c r="L32" i="7"/>
  <c r="O32" i="7"/>
  <c r="O35" i="7"/>
  <c r="X19" i="7"/>
  <c r="Y18" i="7"/>
  <c r="Y19" i="7" s="1"/>
  <c r="L32" i="6"/>
  <c r="M32" i="6"/>
  <c r="O35" i="6"/>
  <c r="O32" i="6"/>
  <c r="M32" i="5"/>
  <c r="O32" i="5"/>
  <c r="L32" i="5"/>
  <c r="O35" i="5"/>
  <c r="M32" i="4"/>
  <c r="L32" i="4"/>
  <c r="O32" i="4"/>
  <c r="O35" i="4"/>
  <c r="O35" i="3"/>
  <c r="L32" i="3"/>
  <c r="M32" i="3"/>
  <c r="O32" i="3"/>
  <c r="O32" i="2"/>
  <c r="O35" i="2"/>
  <c r="O35" i="1"/>
  <c r="O32" i="1"/>
  <c r="Y18" i="4" l="1"/>
  <c r="Y19" i="4" s="1"/>
  <c r="X19" i="4"/>
  <c r="K24" i="9"/>
</calcChain>
</file>

<file path=xl/sharedStrings.xml><?xml version="1.0" encoding="utf-8"?>
<sst xmlns="http://schemas.openxmlformats.org/spreadsheetml/2006/main" count="693" uniqueCount="78">
  <si>
    <t xml:space="preserve"> </t>
  </si>
  <si>
    <t>การประเมินการผลิตพลังงานไฟฟ้า Solar Rooftop</t>
  </si>
  <si>
    <t>กำลังการผลิตไฟฟ้า</t>
  </si>
  <si>
    <t>ค่าไฟฟ้า Solar Roof Top (ลด 25%)</t>
  </si>
  <si>
    <t>ค่าบริหารจัดการ (30%)</t>
  </si>
  <si>
    <t>Income</t>
  </si>
  <si>
    <t>Year</t>
  </si>
  <si>
    <t>Solar Degradation (%)</t>
  </si>
  <si>
    <t>Solar Installation Capacity (Wp)</t>
  </si>
  <si>
    <t>Solar Power Production (kWh/Year)</t>
  </si>
  <si>
    <t>Power Production (kWh/Year)</t>
  </si>
  <si>
    <t xml:space="preserve">Rate/Unit +Tax7% 
</t>
  </si>
  <si>
    <t>Off-Peak Rate</t>
  </si>
  <si>
    <t>Total Power Cost</t>
  </si>
  <si>
    <t>วันปกติ</t>
  </si>
  <si>
    <t>วันหยุด</t>
  </si>
  <si>
    <t>Total</t>
  </si>
  <si>
    <t>Baht / kWh</t>
  </si>
  <si>
    <t>Baht/Year</t>
  </si>
  <si>
    <t>Baht</t>
  </si>
  <si>
    <t>ขนาดกำลังผลิตติดตั้ง</t>
  </si>
  <si>
    <t>Wp</t>
  </si>
  <si>
    <t>ราคา/หน่วย</t>
  </si>
  <si>
    <t>ค่าติดตั้ง</t>
  </si>
  <si>
    <t>พลังงานไฟฟ้าที่ผลิตได้ต่อปี</t>
  </si>
  <si>
    <t>kWh / Year</t>
  </si>
  <si>
    <t>CSR</t>
  </si>
  <si>
    <t>ระยะเวลาคืนทุน</t>
  </si>
  <si>
    <t>รวมเป็นเงิน</t>
  </si>
  <si>
    <t>ค่าบริหารงาน</t>
  </si>
  <si>
    <t>ก่อนได้ทุนคืน สัดส่วนการแบ่งผลประโยชน์ 70:30</t>
  </si>
  <si>
    <t>ปี ได้เงิน</t>
  </si>
  <si>
    <t>จำนวนวันหยุดเดินเครื่อง</t>
  </si>
  <si>
    <t>Day / Year</t>
  </si>
  <si>
    <t>รายได้</t>
  </si>
  <si>
    <t>คิดเป็น %</t>
  </si>
  <si>
    <t>ค่าดำเนินการ</t>
  </si>
  <si>
    <t>ค่าบริหารจัดการ</t>
  </si>
  <si>
    <t>คงเหลือพลังงานไฟฟ้าที่ผลิตได้ต่อปี</t>
  </si>
  <si>
    <t>สำรองอุปกรณ์</t>
  </si>
  <si>
    <t>กำไรบริษัท</t>
  </si>
  <si>
    <t>ส่วนลดค่าจัดการพลังงาน</t>
  </si>
  <si>
    <t>ตั้งแต่ปีที่ 8 แบ่งผลประโยชน์ 50:50</t>
  </si>
  <si>
    <t>จำนวนวันที่ใช้งานปกติ จ-ศ</t>
  </si>
  <si>
    <t>จำนวนวันที่ใช้งาน เสาร์-อาทิตย์ วันหยุด</t>
  </si>
  <si>
    <t>อัตราส่วนกำลังไฟฟ้าช่วงวันหยุด/ช่วง Peak</t>
  </si>
  <si>
    <t>Rate/Unit</t>
  </si>
  <si>
    <t>Discount 25%</t>
  </si>
  <si>
    <t xml:space="preserve">   เงินลงทุน</t>
  </si>
  <si>
    <t>บาท</t>
  </si>
  <si>
    <t>ได้แก่</t>
  </si>
  <si>
    <t>ค่าบำรุงรักษาอุปกรณ์</t>
  </si>
  <si>
    <t>ค่าติดต่อประสานงาน</t>
  </si>
  <si>
    <t>ค่าประกันภัย-อัคคีภัย</t>
  </si>
  <si>
    <t>ค่าทำความสะอาด</t>
  </si>
  <si>
    <t>SUM</t>
  </si>
  <si>
    <t>Pay Back Period</t>
  </si>
  <si>
    <t>ปี</t>
  </si>
  <si>
    <t>NPV</t>
  </si>
  <si>
    <t>เฉลี่ย</t>
  </si>
  <si>
    <t>IRR</t>
  </si>
  <si>
    <t>ตั้งแต่ปีที่ 7 แบ่งผลประโยชน์ 50:50</t>
  </si>
  <si>
    <t>ก่อนได้ทุนคืน สัดส่วนการแบ่งผลประโยชน์ 50:50</t>
  </si>
  <si>
    <t>ค่าบริหารจัดการ (50%)</t>
  </si>
  <si>
    <t>เปรียบเทียบสัญญา 15 ปี</t>
  </si>
  <si>
    <t>เปรียบเทียบสัญญา 25 ปี</t>
  </si>
  <si>
    <t>กำไร</t>
  </si>
  <si>
    <t>สัดส่วน</t>
  </si>
  <si>
    <t>Discount 20%</t>
  </si>
  <si>
    <t>Discount 30%</t>
  </si>
  <si>
    <t>Discount 40%</t>
  </si>
  <si>
    <t>Discount 47%</t>
  </si>
  <si>
    <t>จุดคุ้มทุน</t>
  </si>
  <si>
    <t>รายได้ในช่วงก่อนคืนทุน</t>
  </si>
  <si>
    <t>count</t>
  </si>
  <si>
    <t>คำนวณจำนวนปีคืนทุน</t>
  </si>
  <si>
    <t>รายได้ช่วงระยะเวลาคืนทุน</t>
  </si>
  <si>
    <t>ค่าบริหารงานโครงการ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</si>
</sst>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0.0000"/>
    <numFmt numFmtId="167" formatCode="0.000"/>
    <numFmt numFmtId="168" formatCode="0.00000"/>
    <numFmt numFmtId="169" formatCode="_-* #,##0.0000_-;\-* #,##0.0000_-;_-* &quot;-&quot;??_-;_-@_-"/>
    <numFmt numFmtId="170" formatCode="0.0000%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20"/>
      <color theme="0"/>
      <name val="TH SarabunPSK"/>
      <family val="2"/>
    </font>
    <font>
      <b/>
      <sz val="16"/>
      <color theme="0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rgb="FF9C5700"/>
      <name val="Calibri"/>
      <family val="2"/>
      <charset val="222"/>
      <scheme val="minor"/>
    </font>
    <font>
      <b/>
      <sz val="11"/>
      <color rgb="FF9C5700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b/>
      <sz val="20"/>
      <color rgb="FFFF000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DC07"/>
        <bgColor indexed="64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6" fillId="14" borderId="0" applyNumberFormat="0" applyBorder="0" applyAlignment="0" applyProtection="0"/>
    <xf numFmtId="0" fontId="4" fillId="15" borderId="0" applyNumberFormat="0" applyBorder="0" applyAlignment="0" applyProtection="0"/>
  </cellStyleXfs>
  <cellXfs count="200">
    <xf numFmtId="0" fontId="0" fillId="0" borderId="0" xfId="0"/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3" fontId="5" fillId="0" borderId="0" xfId="1" applyFont="1" applyAlignment="1">
      <alignment vertical="center"/>
    </xf>
    <xf numFmtId="0" fontId="6" fillId="7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43" fontId="8" fillId="8" borderId="2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/>
    </xf>
    <xf numFmtId="165" fontId="5" fillId="6" borderId="2" xfId="1" applyNumberFormat="1" applyFont="1" applyFill="1" applyBorder="1" applyAlignment="1">
      <alignment horizontal="right" vertical="center"/>
    </xf>
    <xf numFmtId="164" fontId="5" fillId="6" borderId="2" xfId="1" applyNumberFormat="1" applyFont="1" applyFill="1" applyBorder="1" applyAlignment="1">
      <alignment horizontal="right" vertical="center"/>
    </xf>
    <xf numFmtId="43" fontId="5" fillId="6" borderId="2" xfId="1" applyFont="1" applyFill="1" applyBorder="1" applyAlignment="1">
      <alignment horizontal="right" vertical="center"/>
    </xf>
    <xf numFmtId="166" fontId="5" fillId="6" borderId="2" xfId="0" applyNumberFormat="1" applyFont="1" applyFill="1" applyBorder="1" applyAlignment="1">
      <alignment horizontal="center" vertical="center"/>
    </xf>
    <xf numFmtId="43" fontId="5" fillId="9" borderId="2" xfId="1" applyFont="1" applyFill="1" applyBorder="1" applyAlignment="1">
      <alignment horizontal="center" vertical="center" wrapText="1"/>
    </xf>
    <xf numFmtId="43" fontId="7" fillId="10" borderId="0" xfId="1" applyFont="1" applyFill="1" applyAlignment="1">
      <alignment vertical="center"/>
    </xf>
    <xf numFmtId="0" fontId="8" fillId="6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5" fillId="6" borderId="2" xfId="0" applyFont="1" applyFill="1" applyBorder="1" applyAlignment="1">
      <alignment horizontal="center" vertical="center" textRotation="255"/>
    </xf>
    <xf numFmtId="10" fontId="5" fillId="6" borderId="2" xfId="2" applyNumberFormat="1" applyFont="1" applyFill="1" applyBorder="1" applyAlignment="1">
      <alignment horizontal="center" vertical="center"/>
    </xf>
    <xf numFmtId="165" fontId="5" fillId="6" borderId="2" xfId="0" applyNumberFormat="1" applyFont="1" applyFill="1" applyBorder="1" applyAlignment="1">
      <alignment horizontal="center" vertical="center"/>
    </xf>
    <xf numFmtId="165" fontId="5" fillId="6" borderId="2" xfId="1" applyNumberFormat="1" applyFont="1" applyFill="1" applyBorder="1" applyAlignment="1">
      <alignment vertical="center" wrapText="1"/>
    </xf>
    <xf numFmtId="2" fontId="5" fillId="6" borderId="2" xfId="0" applyNumberFormat="1" applyFont="1" applyFill="1" applyBorder="1" applyAlignment="1">
      <alignment horizontal="center" vertical="center"/>
    </xf>
    <xf numFmtId="4" fontId="5" fillId="6" borderId="2" xfId="1" applyNumberFormat="1" applyFont="1" applyFill="1" applyBorder="1" applyAlignment="1">
      <alignment horizontal="center" vertical="center" wrapText="1"/>
    </xf>
    <xf numFmtId="4" fontId="4" fillId="5" borderId="2" xfId="6" applyNumberFormat="1" applyBorder="1" applyAlignment="1">
      <alignment horizontal="center" vertical="center" wrapText="1"/>
    </xf>
    <xf numFmtId="4" fontId="8" fillId="6" borderId="0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vertical="center"/>
    </xf>
    <xf numFmtId="0" fontId="8" fillId="6" borderId="14" xfId="0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3" fontId="8" fillId="0" borderId="0" xfId="0" applyNumberFormat="1" applyFont="1" applyAlignment="1">
      <alignment horizontal="center" vertical="center"/>
    </xf>
    <xf numFmtId="4" fontId="8" fillId="6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vertical="center"/>
    </xf>
    <xf numFmtId="43" fontId="9" fillId="0" borderId="0" xfId="1" applyFont="1" applyAlignment="1">
      <alignment vertical="center"/>
    </xf>
    <xf numFmtId="2" fontId="10" fillId="8" borderId="2" xfId="1" applyNumberFormat="1" applyFont="1" applyFill="1" applyBorder="1" applyAlignment="1">
      <alignment horizontal="right" vertical="center"/>
    </xf>
    <xf numFmtId="4" fontId="5" fillId="9" borderId="2" xfId="1" applyNumberFormat="1" applyFont="1" applyFill="1" applyBorder="1" applyAlignment="1">
      <alignment horizontal="center" vertical="center" wrapText="1"/>
    </xf>
    <xf numFmtId="43" fontId="8" fillId="0" borderId="0" xfId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164" fontId="8" fillId="0" borderId="0" xfId="1" applyNumberFormat="1" applyFont="1" applyFill="1" applyBorder="1" applyAlignment="1">
      <alignment vertical="center"/>
    </xf>
    <xf numFmtId="10" fontId="8" fillId="8" borderId="2" xfId="1" applyNumberFormat="1" applyFont="1" applyFill="1" applyBorder="1" applyAlignment="1">
      <alignment vertical="center"/>
    </xf>
    <xf numFmtId="164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11" fillId="8" borderId="2" xfId="0" applyFont="1" applyFill="1" applyBorder="1" applyAlignment="1">
      <alignment vertical="center"/>
    </xf>
    <xf numFmtId="168" fontId="5" fillId="0" borderId="0" xfId="0" applyNumberFormat="1" applyFont="1" applyAlignment="1">
      <alignment vertical="center"/>
    </xf>
    <xf numFmtId="0" fontId="8" fillId="8" borderId="2" xfId="0" applyFont="1" applyFill="1" applyBorder="1" applyAlignment="1">
      <alignment vertical="center"/>
    </xf>
    <xf numFmtId="2" fontId="8" fillId="8" borderId="2" xfId="0" applyNumberFormat="1" applyFont="1" applyFill="1" applyBorder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169" fontId="8" fillId="8" borderId="2" xfId="0" applyNumberFormat="1" applyFont="1" applyFill="1" applyBorder="1" applyAlignment="1">
      <alignment vertical="center"/>
    </xf>
    <xf numFmtId="166" fontId="8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4" fontId="5" fillId="10" borderId="0" xfId="1" applyNumberFormat="1" applyFont="1" applyFill="1" applyBorder="1" applyAlignment="1">
      <alignment horizontal="left" vertical="center" wrapText="1"/>
    </xf>
    <xf numFmtId="0" fontId="5" fillId="10" borderId="0" xfId="0" applyFont="1" applyFill="1" applyAlignment="1">
      <alignment vertical="center"/>
    </xf>
    <xf numFmtId="43" fontId="8" fillId="10" borderId="0" xfId="1" applyFont="1" applyFill="1" applyAlignment="1">
      <alignment vertical="center"/>
    </xf>
    <xf numFmtId="4" fontId="5" fillId="11" borderId="0" xfId="1" applyNumberFormat="1" applyFont="1" applyFill="1" applyBorder="1" applyAlignment="1">
      <alignment horizontal="center" vertical="center" wrapText="1"/>
    </xf>
    <xf numFmtId="165" fontId="5" fillId="11" borderId="0" xfId="0" applyNumberFormat="1" applyFont="1" applyFill="1" applyAlignment="1">
      <alignment vertical="center"/>
    </xf>
    <xf numFmtId="0" fontId="5" fillId="11" borderId="0" xfId="0" applyFont="1" applyFill="1" applyAlignment="1">
      <alignment vertical="center"/>
    </xf>
    <xf numFmtId="4" fontId="5" fillId="6" borderId="0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0" fontId="5" fillId="6" borderId="2" xfId="0" applyNumberFormat="1" applyFont="1" applyFill="1" applyBorder="1" applyAlignment="1">
      <alignment horizontal="center" vertical="center"/>
    </xf>
    <xf numFmtId="165" fontId="5" fillId="6" borderId="2" xfId="1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vertical="center"/>
    </xf>
    <xf numFmtId="166" fontId="5" fillId="6" borderId="2" xfId="0" applyNumberFormat="1" applyFont="1" applyFill="1" applyBorder="1" applyAlignment="1">
      <alignment horizontal="left" vertical="center"/>
    </xf>
    <xf numFmtId="4" fontId="13" fillId="6" borderId="2" xfId="1" applyNumberFormat="1" applyFont="1" applyFill="1" applyBorder="1" applyAlignment="1">
      <alignment horizontal="center" vertical="center" wrapText="1"/>
    </xf>
    <xf numFmtId="4" fontId="13" fillId="9" borderId="2" xfId="1" applyNumberFormat="1" applyFont="1" applyFill="1" applyBorder="1" applyAlignment="1">
      <alignment horizontal="center" vertical="center" wrapText="1"/>
    </xf>
    <xf numFmtId="4" fontId="13" fillId="6" borderId="0" xfId="1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10" fontId="5" fillId="6" borderId="0" xfId="0" applyNumberFormat="1" applyFont="1" applyFill="1" applyAlignment="1">
      <alignment horizontal="center" vertical="center"/>
    </xf>
    <xf numFmtId="164" fontId="5" fillId="6" borderId="0" xfId="1" applyNumberFormat="1" applyFont="1" applyFill="1" applyBorder="1" applyAlignment="1">
      <alignment horizontal="right" vertical="center" wrapText="1"/>
    </xf>
    <xf numFmtId="164" fontId="5" fillId="6" borderId="0" xfId="0" applyNumberFormat="1" applyFont="1" applyFill="1" applyAlignment="1">
      <alignment vertical="center"/>
    </xf>
    <xf numFmtId="166" fontId="5" fillId="6" borderId="0" xfId="0" applyNumberFormat="1" applyFont="1" applyFill="1" applyAlignment="1">
      <alignment horizontal="left" vertical="center"/>
    </xf>
    <xf numFmtId="4" fontId="13" fillId="12" borderId="0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/>
    </xf>
    <xf numFmtId="164" fontId="5" fillId="13" borderId="2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6" fontId="5" fillId="0" borderId="0" xfId="0" applyNumberFormat="1" applyFont="1" applyAlignment="1">
      <alignment horizontal="left" vertical="center"/>
    </xf>
    <xf numFmtId="4" fontId="5" fillId="0" borderId="0" xfId="1" applyNumberFormat="1" applyFont="1" applyAlignment="1">
      <alignment horizontal="center" vertical="center" wrapText="1"/>
    </xf>
    <xf numFmtId="4" fontId="5" fillId="12" borderId="0" xfId="1" applyNumberFormat="1" applyFont="1" applyFill="1" applyAlignment="1">
      <alignment horizontal="center" vertical="center" wrapText="1"/>
    </xf>
    <xf numFmtId="4" fontId="5" fillId="6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left" vertical="center"/>
    </xf>
    <xf numFmtId="10" fontId="5" fillId="12" borderId="0" xfId="2" applyNumberFormat="1" applyFont="1" applyFill="1" applyAlignment="1">
      <alignment horizontal="center" vertical="center" wrapText="1"/>
    </xf>
    <xf numFmtId="9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70" fontId="5" fillId="0" borderId="0" xfId="0" applyNumberFormat="1" applyFont="1" applyAlignment="1">
      <alignment vertical="center"/>
    </xf>
    <xf numFmtId="43" fontId="5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" fontId="1" fillId="4" borderId="2" xfId="5" applyNumberFormat="1" applyBorder="1" applyAlignment="1">
      <alignment horizontal="center" vertical="center" wrapText="1"/>
    </xf>
    <xf numFmtId="0" fontId="2" fillId="2" borderId="0" xfId="3" applyAlignment="1">
      <alignment horizontal="right" vertical="center" wrapText="1"/>
    </xf>
    <xf numFmtId="43" fontId="2" fillId="2" borderId="0" xfId="3" applyNumberFormat="1" applyAlignment="1">
      <alignment vertical="center" wrapText="1"/>
    </xf>
    <xf numFmtId="0" fontId="2" fillId="2" borderId="0" xfId="3" applyAlignment="1">
      <alignment horizontal="right" vertical="center"/>
    </xf>
    <xf numFmtId="43" fontId="2" fillId="2" borderId="0" xfId="3" applyNumberFormat="1" applyAlignment="1">
      <alignment vertical="center"/>
    </xf>
    <xf numFmtId="0" fontId="14" fillId="2" borderId="0" xfId="3" applyFont="1" applyAlignment="1">
      <alignment horizontal="right" vertical="center" wrapText="1"/>
    </xf>
    <xf numFmtId="43" fontId="14" fillId="2" borderId="0" xfId="3" applyNumberFormat="1" applyFont="1" applyAlignment="1">
      <alignment vertical="center" wrapText="1"/>
    </xf>
    <xf numFmtId="0" fontId="14" fillId="2" borderId="0" xfId="3" applyFont="1" applyAlignment="1">
      <alignment horizontal="right" vertical="center"/>
    </xf>
    <xf numFmtId="43" fontId="14" fillId="2" borderId="0" xfId="3" applyNumberFormat="1" applyFont="1" applyAlignment="1">
      <alignment vertical="center"/>
    </xf>
    <xf numFmtId="0" fontId="15" fillId="3" borderId="1" xfId="4" applyFont="1" applyBorder="1" applyAlignment="1">
      <alignment vertical="center"/>
    </xf>
    <xf numFmtId="164" fontId="15" fillId="3" borderId="1" xfId="4" applyNumberFormat="1" applyFont="1" applyBorder="1" applyAlignment="1">
      <alignment horizontal="left" vertical="center"/>
    </xf>
    <xf numFmtId="43" fontId="15" fillId="3" borderId="1" xfId="4" applyNumberFormat="1" applyFont="1" applyBorder="1" applyAlignment="1">
      <alignment horizontal="center" vertical="center"/>
    </xf>
    <xf numFmtId="10" fontId="15" fillId="3" borderId="1" xfId="4" applyNumberFormat="1" applyFont="1" applyBorder="1" applyAlignment="1">
      <alignment vertical="center"/>
    </xf>
    <xf numFmtId="0" fontId="15" fillId="3" borderId="1" xfId="4" applyFont="1" applyBorder="1" applyAlignment="1">
      <alignment horizontal="right" vertical="center"/>
    </xf>
    <xf numFmtId="43" fontId="15" fillId="3" borderId="1" xfId="4" applyNumberFormat="1" applyFont="1" applyBorder="1" applyAlignment="1">
      <alignment vertical="center"/>
    </xf>
    <xf numFmtId="0" fontId="16" fillId="14" borderId="2" xfId="7" applyBorder="1" applyAlignment="1">
      <alignment horizontal="center" vertical="center"/>
    </xf>
    <xf numFmtId="10" fontId="16" fillId="14" borderId="2" xfId="7" applyNumberFormat="1" applyBorder="1" applyAlignment="1">
      <alignment horizontal="center" vertical="center"/>
    </xf>
    <xf numFmtId="165" fontId="16" fillId="14" borderId="2" xfId="7" applyNumberFormat="1" applyBorder="1" applyAlignment="1">
      <alignment horizontal="center" vertical="center"/>
    </xf>
    <xf numFmtId="165" fontId="16" fillId="14" borderId="2" xfId="7" applyNumberFormat="1" applyBorder="1" applyAlignment="1">
      <alignment vertical="center" wrapText="1"/>
    </xf>
    <xf numFmtId="164" fontId="16" fillId="14" borderId="2" xfId="7" applyNumberFormat="1" applyBorder="1" applyAlignment="1">
      <alignment horizontal="right" vertical="center"/>
    </xf>
    <xf numFmtId="43" fontId="16" fillId="14" borderId="2" xfId="7" applyNumberFormat="1" applyBorder="1" applyAlignment="1">
      <alignment horizontal="right" vertical="center"/>
    </xf>
    <xf numFmtId="165" fontId="16" fillId="14" borderId="2" xfId="7" applyNumberFormat="1" applyBorder="1" applyAlignment="1">
      <alignment horizontal="right" vertical="center"/>
    </xf>
    <xf numFmtId="2" fontId="16" fillId="14" borderId="2" xfId="7" applyNumberFormat="1" applyBorder="1" applyAlignment="1">
      <alignment horizontal="center" vertical="center"/>
    </xf>
    <xf numFmtId="4" fontId="16" fillId="14" borderId="2" xfId="7" applyNumberFormat="1" applyBorder="1" applyAlignment="1">
      <alignment horizontal="center" vertical="center" wrapText="1"/>
    </xf>
    <xf numFmtId="0" fontId="16" fillId="0" borderId="2" xfId="7" applyFill="1" applyBorder="1" applyAlignment="1">
      <alignment horizontal="center" vertical="center"/>
    </xf>
    <xf numFmtId="10" fontId="16" fillId="0" borderId="2" xfId="7" applyNumberFormat="1" applyFill="1" applyBorder="1" applyAlignment="1">
      <alignment horizontal="center" vertical="center"/>
    </xf>
    <xf numFmtId="165" fontId="16" fillId="0" borderId="2" xfId="7" applyNumberFormat="1" applyFill="1" applyBorder="1" applyAlignment="1">
      <alignment horizontal="center" vertical="center"/>
    </xf>
    <xf numFmtId="165" fontId="16" fillId="0" borderId="2" xfId="7" applyNumberFormat="1" applyFill="1" applyBorder="1" applyAlignment="1">
      <alignment vertical="center" wrapText="1"/>
    </xf>
    <xf numFmtId="164" fontId="16" fillId="0" borderId="2" xfId="7" applyNumberFormat="1" applyFill="1" applyBorder="1" applyAlignment="1">
      <alignment horizontal="right" vertical="center"/>
    </xf>
    <xf numFmtId="43" fontId="16" fillId="0" borderId="2" xfId="7" applyNumberFormat="1" applyFill="1" applyBorder="1" applyAlignment="1">
      <alignment horizontal="right" vertical="center"/>
    </xf>
    <xf numFmtId="165" fontId="16" fillId="0" borderId="2" xfId="7" applyNumberFormat="1" applyFill="1" applyBorder="1" applyAlignment="1">
      <alignment horizontal="right" vertical="center"/>
    </xf>
    <xf numFmtId="2" fontId="16" fillId="0" borderId="2" xfId="7" applyNumberForma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/>
    </xf>
    <xf numFmtId="2" fontId="16" fillId="14" borderId="9" xfId="7" applyNumberFormat="1" applyBorder="1" applyAlignment="1">
      <alignment horizontal="center" vertical="center"/>
    </xf>
    <xf numFmtId="0" fontId="16" fillId="0" borderId="0" xfId="7" applyFill="1" applyBorder="1" applyAlignment="1">
      <alignment horizontal="center" vertical="center"/>
    </xf>
    <xf numFmtId="10" fontId="16" fillId="0" borderId="0" xfId="7" applyNumberFormat="1" applyFill="1" applyBorder="1" applyAlignment="1">
      <alignment horizontal="center" vertical="center"/>
    </xf>
    <xf numFmtId="165" fontId="16" fillId="0" borderId="0" xfId="7" applyNumberFormat="1" applyFill="1" applyBorder="1" applyAlignment="1">
      <alignment horizontal="center" vertical="center"/>
    </xf>
    <xf numFmtId="165" fontId="16" fillId="0" borderId="0" xfId="7" applyNumberFormat="1" applyFill="1" applyBorder="1" applyAlignment="1">
      <alignment vertical="center" wrapText="1"/>
    </xf>
    <xf numFmtId="164" fontId="16" fillId="0" borderId="0" xfId="7" applyNumberFormat="1" applyFill="1" applyBorder="1" applyAlignment="1">
      <alignment horizontal="right" vertical="center"/>
    </xf>
    <xf numFmtId="43" fontId="16" fillId="0" borderId="0" xfId="7" applyNumberFormat="1" applyFill="1" applyBorder="1" applyAlignment="1">
      <alignment horizontal="right" vertical="center"/>
    </xf>
    <xf numFmtId="165" fontId="16" fillId="0" borderId="0" xfId="7" applyNumberFormat="1" applyFill="1" applyBorder="1" applyAlignment="1">
      <alignment horizontal="right" vertical="center"/>
    </xf>
    <xf numFmtId="2" fontId="16" fillId="0" borderId="0" xfId="7" applyNumberFormat="1" applyFill="1" applyBorder="1" applyAlignment="1">
      <alignment horizontal="center" vertical="center"/>
    </xf>
    <xf numFmtId="4" fontId="16" fillId="0" borderId="0" xfId="7" applyNumberFormat="1" applyFill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Fill="1" applyBorder="1" applyAlignment="1">
      <alignment horizontal="center" vertical="center" wrapText="1"/>
    </xf>
    <xf numFmtId="0" fontId="17" fillId="14" borderId="2" xfId="7" applyFont="1" applyBorder="1" applyAlignment="1">
      <alignment horizontal="center" vertical="center"/>
    </xf>
    <xf numFmtId="10" fontId="17" fillId="14" borderId="2" xfId="7" applyNumberFormat="1" applyFont="1" applyBorder="1" applyAlignment="1">
      <alignment horizontal="center" vertical="center"/>
    </xf>
    <xf numFmtId="165" fontId="17" fillId="14" borderId="2" xfId="7" applyNumberFormat="1" applyFont="1" applyBorder="1" applyAlignment="1">
      <alignment horizontal="center" vertical="center"/>
    </xf>
    <xf numFmtId="165" fontId="17" fillId="14" borderId="2" xfId="7" applyNumberFormat="1" applyFont="1" applyBorder="1" applyAlignment="1">
      <alignment vertical="center" wrapText="1"/>
    </xf>
    <xf numFmtId="164" fontId="17" fillId="14" borderId="2" xfId="7" applyNumberFormat="1" applyFont="1" applyBorder="1" applyAlignment="1">
      <alignment horizontal="right" vertical="center"/>
    </xf>
    <xf numFmtId="43" fontId="17" fillId="14" borderId="2" xfId="7" applyNumberFormat="1" applyFont="1" applyBorder="1" applyAlignment="1">
      <alignment horizontal="right" vertical="center"/>
    </xf>
    <xf numFmtId="165" fontId="17" fillId="14" borderId="2" xfId="7" applyNumberFormat="1" applyFont="1" applyBorder="1" applyAlignment="1">
      <alignment horizontal="right" vertical="center"/>
    </xf>
    <xf numFmtId="2" fontId="17" fillId="14" borderId="2" xfId="7" applyNumberFormat="1" applyFont="1" applyBorder="1" applyAlignment="1">
      <alignment horizontal="center" vertical="center"/>
    </xf>
    <xf numFmtId="4" fontId="17" fillId="14" borderId="2" xfId="7" applyNumberFormat="1" applyFont="1" applyBorder="1" applyAlignment="1">
      <alignment horizontal="center" vertical="center" wrapText="1"/>
    </xf>
    <xf numFmtId="0" fontId="16" fillId="0" borderId="9" xfId="7" applyFill="1" applyBorder="1" applyAlignment="1">
      <alignment horizontal="center" vertical="center"/>
    </xf>
    <xf numFmtId="10" fontId="16" fillId="0" borderId="9" xfId="7" applyNumberFormat="1" applyFill="1" applyBorder="1" applyAlignment="1">
      <alignment horizontal="center" vertical="center"/>
    </xf>
    <xf numFmtId="165" fontId="16" fillId="0" borderId="9" xfId="7" applyNumberFormat="1" applyFill="1" applyBorder="1" applyAlignment="1">
      <alignment horizontal="center" vertical="center"/>
    </xf>
    <xf numFmtId="165" fontId="16" fillId="0" borderId="9" xfId="7" applyNumberFormat="1" applyFill="1" applyBorder="1" applyAlignment="1">
      <alignment vertical="center" wrapText="1"/>
    </xf>
    <xf numFmtId="164" fontId="16" fillId="0" borderId="9" xfId="7" applyNumberFormat="1" applyFill="1" applyBorder="1" applyAlignment="1">
      <alignment horizontal="right" vertical="center"/>
    </xf>
    <xf numFmtId="43" fontId="16" fillId="0" borderId="9" xfId="7" applyNumberFormat="1" applyFill="1" applyBorder="1" applyAlignment="1">
      <alignment horizontal="right" vertical="center"/>
    </xf>
    <xf numFmtId="165" fontId="16" fillId="0" borderId="9" xfId="7" applyNumberFormat="1" applyFill="1" applyBorder="1" applyAlignment="1">
      <alignment horizontal="right" vertical="center"/>
    </xf>
    <xf numFmtId="2" fontId="16" fillId="0" borderId="9" xfId="7" applyNumberFormat="1" applyFill="1" applyBorder="1" applyAlignment="1">
      <alignment horizontal="center" vertical="center"/>
    </xf>
    <xf numFmtId="43" fontId="4" fillId="15" borderId="0" xfId="8" applyNumberFormat="1" applyAlignment="1">
      <alignment vertical="center"/>
    </xf>
    <xf numFmtId="43" fontId="7" fillId="16" borderId="0" xfId="1" applyFont="1" applyFill="1" applyAlignment="1">
      <alignment vertical="center"/>
    </xf>
    <xf numFmtId="0" fontId="7" fillId="7" borderId="3" xfId="0" applyFont="1" applyFill="1" applyBorder="1" applyAlignment="1">
      <alignment horizontal="center" vertical="center" wrapText="1"/>
    </xf>
    <xf numFmtId="4" fontId="4" fillId="5" borderId="3" xfId="6" applyNumberFormat="1" applyBorder="1" applyAlignment="1">
      <alignment horizontal="center" vertical="center" wrapText="1"/>
    </xf>
    <xf numFmtId="4" fontId="1" fillId="4" borderId="3" xfId="5" applyNumberFormat="1" applyBorder="1" applyAlignment="1">
      <alignment horizontal="center" vertical="center" wrapText="1"/>
    </xf>
    <xf numFmtId="4" fontId="13" fillId="9" borderId="3" xfId="1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right" vertical="center" wrapText="1"/>
    </xf>
    <xf numFmtId="0" fontId="19" fillId="17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 wrapText="1"/>
    </xf>
    <xf numFmtId="0" fontId="19" fillId="17" borderId="0" xfId="0" applyFont="1" applyFill="1" applyAlignment="1">
      <alignment horizontal="center" vertical="center" wrapText="1"/>
    </xf>
    <xf numFmtId="43" fontId="19" fillId="17" borderId="0" xfId="1" applyFont="1" applyFill="1" applyBorder="1" applyAlignment="1">
      <alignment vertical="center"/>
    </xf>
    <xf numFmtId="4" fontId="18" fillId="17" borderId="0" xfId="6" applyNumberFormat="1" applyFont="1" applyFill="1" applyBorder="1" applyAlignment="1">
      <alignment horizontal="center" vertical="center" wrapText="1"/>
    </xf>
    <xf numFmtId="4" fontId="18" fillId="17" borderId="0" xfId="5" applyNumberFormat="1" applyFont="1" applyFill="1" applyBorder="1" applyAlignment="1">
      <alignment horizontal="center" vertical="center" wrapText="1"/>
    </xf>
    <xf numFmtId="4" fontId="19" fillId="17" borderId="0" xfId="1" applyNumberFormat="1" applyFont="1" applyFill="1" applyBorder="1" applyAlignment="1">
      <alignment horizontal="center" vertical="center" wrapText="1"/>
    </xf>
    <xf numFmtId="10" fontId="19" fillId="17" borderId="0" xfId="2" applyNumberFormat="1" applyFont="1" applyFill="1" applyBorder="1" applyAlignment="1">
      <alignment horizontal="center" vertical="center" wrapText="1"/>
    </xf>
    <xf numFmtId="4" fontId="5" fillId="9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</cellXfs>
  <cellStyles count="9">
    <cellStyle name="20% - ส่วนที่ถูกเน้น5" xfId="5" builtinId="46"/>
    <cellStyle name="จุลภาค" xfId="1" builtinId="3"/>
    <cellStyle name="ดี" xfId="3" builtinId="26"/>
    <cellStyle name="ปกติ" xfId="0" builtinId="0"/>
    <cellStyle name="ปานกลาง" xfId="7" builtinId="28"/>
    <cellStyle name="เปอร์เซ็นต์" xfId="2" builtinId="5"/>
    <cellStyle name="แย่" xfId="4" builtinId="27"/>
    <cellStyle name="ส่วนที่ถูกเน้น2" xfId="8" builtinId="33"/>
    <cellStyle name="ส่วนที่ถูกเน้น6" xfId="6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E-44F0-8AE3-56211136C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1-429C-912A-56CC94D05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5-4FD4-A45A-470FBC307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A-45AC-BBBF-F279CBAA6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3-47D3-AB0D-F4E04D1E4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8-44D3-AB40-97DD3F060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B-466D-B22C-51DDC3E1A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B-4807-B845-E7495518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lang="en-US" b="1"/>
            </a:pPr>
            <a:r>
              <a:rPr lang="en-US" b="1"/>
              <a:t>Solar Rooftop E</a:t>
            </a:r>
            <a:r>
              <a:rPr lang="en-AU" sz="1920" b="1" i="0" u="none" strike="noStrike" baseline="0"/>
              <a:t>stimated Degradation </a:t>
            </a:r>
            <a:r>
              <a:rPr lang="en-US" b="1"/>
              <a:t> </a:t>
            </a:r>
            <a:endParaRPr lang="th-TH" b="1"/>
          </a:p>
        </c:rich>
      </c:tx>
      <c:layout>
        <c:manualLayout>
          <c:xMode val="edge"/>
          <c:yMode val="edge"/>
          <c:x val="0.34629873534523581"/>
          <c:y val="5.23300583062074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49754866632864"/>
          <c:y val="0.18335347702108423"/>
          <c:w val="0.76194690246130936"/>
          <c:h val="0.63047176315222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[1]ค่าพลังงานผลิต!$A$5:$A$25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[1]ค่าพลังงานผลิต!$C$5:$C$25</c:f>
              <c:numCache>
                <c:formatCode>General</c:formatCode>
                <c:ptCount val="21"/>
                <c:pt idx="0">
                  <c:v>2646000</c:v>
                </c:pt>
                <c:pt idx="1">
                  <c:v>2577204</c:v>
                </c:pt>
                <c:pt idx="2">
                  <c:v>2559163.5720000002</c:v>
                </c:pt>
                <c:pt idx="3">
                  <c:v>2541249.4269960001</c:v>
                </c:pt>
                <c:pt idx="4">
                  <c:v>2523460.6810070281</c:v>
                </c:pt>
                <c:pt idx="5">
                  <c:v>2505796.4562399788</c:v>
                </c:pt>
                <c:pt idx="6">
                  <c:v>2488255.8810462989</c:v>
                </c:pt>
                <c:pt idx="7">
                  <c:v>2470838.0898789749</c:v>
                </c:pt>
                <c:pt idx="8">
                  <c:v>2453542.2232498219</c:v>
                </c:pt>
                <c:pt idx="9">
                  <c:v>2436367.4276870731</c:v>
                </c:pt>
                <c:pt idx="10">
                  <c:v>2419312.8556932635</c:v>
                </c:pt>
                <c:pt idx="11">
                  <c:v>2402377.6657034107</c:v>
                </c:pt>
                <c:pt idx="12">
                  <c:v>2385561.0220434871</c:v>
                </c:pt>
                <c:pt idx="13">
                  <c:v>2368862.0948891826</c:v>
                </c:pt>
                <c:pt idx="14">
                  <c:v>2352280.0602249582</c:v>
                </c:pt>
                <c:pt idx="15">
                  <c:v>2335814.0998033835</c:v>
                </c:pt>
                <c:pt idx="16">
                  <c:v>2319463.4011047599</c:v>
                </c:pt>
                <c:pt idx="17">
                  <c:v>2303227.1572970264</c:v>
                </c:pt>
                <c:pt idx="18">
                  <c:v>2287104.5671959473</c:v>
                </c:pt>
                <c:pt idx="19">
                  <c:v>2271094.8352255756</c:v>
                </c:pt>
                <c:pt idx="20">
                  <c:v>2255197.1713789967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C-4006-A75B-279FFF7D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431363408"/>
        <c:axId val="431361840"/>
      </c:barChart>
      <c:catAx>
        <c:axId val="4313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178280075442949"/>
              <c:y val="0.913104030973923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1840"/>
        <c:crosses val="autoZero"/>
        <c:auto val="1"/>
        <c:lblAlgn val="ctr"/>
        <c:lblOffset val="100"/>
        <c:noMultiLvlLbl val="0"/>
      </c:catAx>
      <c:valAx>
        <c:axId val="43136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SYSTEM DC CAPACITY </a:t>
                </a:r>
                <a:r>
                  <a:rPr lang="th-TH"/>
                  <a:t>(</a:t>
                </a:r>
                <a:r>
                  <a:rPr lang="en-US"/>
                  <a:t>WP</a:t>
                </a:r>
                <a:r>
                  <a:rPr lang="th-TH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381853954057944E-2"/>
              <c:y val="0.263597584860939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n-US"/>
            </a:pPr>
            <a:endParaRPr lang="en-US"/>
          </a:p>
        </c:txPr>
        <c:crossAx val="431363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 sz="1600">
          <a:solidFill>
            <a:schemeClr val="dk1"/>
          </a:solidFill>
          <a:latin typeface="TH SarabunPSK" pitchFamily="34" charset="-34"/>
          <a:ea typeface="+mn-ea"/>
          <a:cs typeface="TH SarabunPSK" pitchFamily="34" charset="-34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312490</xdr:colOff>
      <xdr:row>37</xdr:row>
      <xdr:rowOff>127000</xdr:rowOff>
    </xdr:from>
    <xdr:to>
      <xdr:col>14</xdr:col>
      <xdr:colOff>476250</xdr:colOff>
      <xdr:row>53</xdr:row>
      <xdr:rowOff>241831</xdr:rowOff>
    </xdr:to>
    <xdr:graphicFrame macro="">
      <xdr:nvGraphicFramePr>
        <xdr:cNvPr id="2" name="แผนภูมิ 3">
          <a:extLst>
            <a:ext uri="{FF2B5EF4-FFF2-40B4-BE49-F238E27FC236}">
              <a16:creationId xmlns:a16="http://schemas.microsoft.com/office/drawing/2014/main" id="{BAA3B12C-1E2B-4690-BD05-61BA584C1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312490</xdr:colOff>
      <xdr:row>37</xdr:row>
      <xdr:rowOff>127000</xdr:rowOff>
    </xdr:from>
    <xdr:to>
      <xdr:col>14</xdr:col>
      <xdr:colOff>476250</xdr:colOff>
      <xdr:row>53</xdr:row>
      <xdr:rowOff>241831</xdr:rowOff>
    </xdr:to>
    <xdr:graphicFrame macro="">
      <xdr:nvGraphicFramePr>
        <xdr:cNvPr id="2" name="แผนภูมิ 3">
          <a:extLst>
            <a:ext uri="{FF2B5EF4-FFF2-40B4-BE49-F238E27FC236}">
              <a16:creationId xmlns:a16="http://schemas.microsoft.com/office/drawing/2014/main" id="{BBF79322-69A2-46A1-A262-7D94748C6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312490</xdr:colOff>
      <xdr:row>37</xdr:row>
      <xdr:rowOff>127000</xdr:rowOff>
    </xdr:from>
    <xdr:to>
      <xdr:col>14</xdr:col>
      <xdr:colOff>476250</xdr:colOff>
      <xdr:row>53</xdr:row>
      <xdr:rowOff>241831</xdr:rowOff>
    </xdr:to>
    <xdr:graphicFrame macro="">
      <xdr:nvGraphicFramePr>
        <xdr:cNvPr id="2" name="แผนภูมิ 3">
          <a:extLst>
            <a:ext uri="{FF2B5EF4-FFF2-40B4-BE49-F238E27FC236}">
              <a16:creationId xmlns:a16="http://schemas.microsoft.com/office/drawing/2014/main" id="{5A5D7DD7-6121-4D21-B471-FBAC48763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312490</xdr:colOff>
      <xdr:row>37</xdr:row>
      <xdr:rowOff>127000</xdr:rowOff>
    </xdr:from>
    <xdr:to>
      <xdr:col>14</xdr:col>
      <xdr:colOff>476250</xdr:colOff>
      <xdr:row>53</xdr:row>
      <xdr:rowOff>241831</xdr:rowOff>
    </xdr:to>
    <xdr:graphicFrame macro="">
      <xdr:nvGraphicFramePr>
        <xdr:cNvPr id="2" name="แผนภูมิ 3">
          <a:extLst>
            <a:ext uri="{FF2B5EF4-FFF2-40B4-BE49-F238E27FC236}">
              <a16:creationId xmlns:a16="http://schemas.microsoft.com/office/drawing/2014/main" id="{E2D985FB-43BE-433A-960F-B6B8FF76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312490</xdr:colOff>
      <xdr:row>37</xdr:row>
      <xdr:rowOff>127000</xdr:rowOff>
    </xdr:from>
    <xdr:to>
      <xdr:col>14</xdr:col>
      <xdr:colOff>476250</xdr:colOff>
      <xdr:row>53</xdr:row>
      <xdr:rowOff>241831</xdr:rowOff>
    </xdr:to>
    <xdr:graphicFrame macro="">
      <xdr:nvGraphicFramePr>
        <xdr:cNvPr id="2" name="แผนภูมิ 3">
          <a:extLst>
            <a:ext uri="{FF2B5EF4-FFF2-40B4-BE49-F238E27FC236}">
              <a16:creationId xmlns:a16="http://schemas.microsoft.com/office/drawing/2014/main" id="{4D3114E5-7349-4217-A6DD-9035FFB12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312490</xdr:colOff>
      <xdr:row>37</xdr:row>
      <xdr:rowOff>127000</xdr:rowOff>
    </xdr:from>
    <xdr:to>
      <xdr:col>14</xdr:col>
      <xdr:colOff>476250</xdr:colOff>
      <xdr:row>53</xdr:row>
      <xdr:rowOff>241831</xdr:rowOff>
    </xdr:to>
    <xdr:graphicFrame macro="">
      <xdr:nvGraphicFramePr>
        <xdr:cNvPr id="2" name="แผนภูมิ 3">
          <a:extLst>
            <a:ext uri="{FF2B5EF4-FFF2-40B4-BE49-F238E27FC236}">
              <a16:creationId xmlns:a16="http://schemas.microsoft.com/office/drawing/2014/main" id="{17A381D4-4912-4435-B18B-3577A08A1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312490</xdr:colOff>
      <xdr:row>37</xdr:row>
      <xdr:rowOff>127000</xdr:rowOff>
    </xdr:from>
    <xdr:to>
      <xdr:col>14</xdr:col>
      <xdr:colOff>476250</xdr:colOff>
      <xdr:row>53</xdr:row>
      <xdr:rowOff>241831</xdr:rowOff>
    </xdr:to>
    <xdr:graphicFrame macro="">
      <xdr:nvGraphicFramePr>
        <xdr:cNvPr id="2" name="แผนภูมิ 3">
          <a:extLst>
            <a:ext uri="{FF2B5EF4-FFF2-40B4-BE49-F238E27FC236}">
              <a16:creationId xmlns:a16="http://schemas.microsoft.com/office/drawing/2014/main" id="{F977DD05-BF4B-478A-9E89-91F3CE54F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536328</xdr:colOff>
      <xdr:row>24</xdr:row>
      <xdr:rowOff>50800</xdr:rowOff>
    </xdr:from>
    <xdr:to>
      <xdr:col>6</xdr:col>
      <xdr:colOff>957263</xdr:colOff>
      <xdr:row>40</xdr:row>
      <xdr:rowOff>165631</xdr:rowOff>
    </xdr:to>
    <xdr:graphicFrame macro="">
      <xdr:nvGraphicFramePr>
        <xdr:cNvPr id="3" name="แผนภูมิ 3">
          <a:extLst>
            <a:ext uri="{FF2B5EF4-FFF2-40B4-BE49-F238E27FC236}">
              <a16:creationId xmlns:a16="http://schemas.microsoft.com/office/drawing/2014/main" id="{370448C1-5103-49FA-92A3-CF90A6C60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102940</xdr:colOff>
      <xdr:row>37</xdr:row>
      <xdr:rowOff>190500</xdr:rowOff>
    </xdr:from>
    <xdr:to>
      <xdr:col>6</xdr:col>
      <xdr:colOff>495300</xdr:colOff>
      <xdr:row>51</xdr:row>
      <xdr:rowOff>241831</xdr:rowOff>
    </xdr:to>
    <xdr:graphicFrame macro="">
      <xdr:nvGraphicFramePr>
        <xdr:cNvPr id="2" name="แผนภูมิ 3">
          <a:extLst>
            <a:ext uri="{FF2B5EF4-FFF2-40B4-BE49-F238E27FC236}">
              <a16:creationId xmlns:a16="http://schemas.microsoft.com/office/drawing/2014/main" id="{A1202204-8400-4702-AEF8-1F217EA10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saki\Solar\SWU\&#3588;&#3635;&#3609;&#3623;&#3603;%20&#3617;&#3624;&#3623;.%20P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m"/>
      <sheetName val="PL"/>
      <sheetName val="เงินกู้"/>
      <sheetName val="ค่าพลังงานผลิต"/>
      <sheetName val="ตารางค่าจัดการพลังงาน"/>
      <sheetName val="การใช้ไฟย้อนหลัง"/>
      <sheetName val="ตารางผู้ลงทุน"/>
      <sheetName val="สรุปรายเดือน"/>
      <sheetName val="ขอบเขต"/>
      <sheetName val="ประมาณการค่าใช้จ่าย"/>
      <sheetName val="ประเภทค่าไฟ"/>
    </sheetNames>
    <sheetDataSet>
      <sheetData sheetId="0" refreshError="1">
        <row r="22">
          <cell r="C22">
            <v>10</v>
          </cell>
        </row>
        <row r="24">
          <cell r="C24">
            <v>242</v>
          </cell>
        </row>
      </sheetData>
      <sheetData sheetId="1" refreshError="1"/>
      <sheetData sheetId="2" refreshError="1"/>
      <sheetData sheetId="3" refreshError="1">
        <row r="5">
          <cell r="A5">
            <v>0</v>
          </cell>
          <cell r="C5">
            <v>2646000</v>
          </cell>
        </row>
        <row r="6">
          <cell r="A6">
            <v>1</v>
          </cell>
          <cell r="C6">
            <v>2577204</v>
          </cell>
        </row>
        <row r="7">
          <cell r="A7">
            <v>2</v>
          </cell>
          <cell r="C7">
            <v>2559163.5720000002</v>
          </cell>
        </row>
        <row r="8">
          <cell r="A8">
            <v>3</v>
          </cell>
          <cell r="C8">
            <v>2541249.4269960001</v>
          </cell>
        </row>
        <row r="9">
          <cell r="A9">
            <v>4</v>
          </cell>
          <cell r="C9">
            <v>2523460.6810070281</v>
          </cell>
        </row>
        <row r="10">
          <cell r="A10">
            <v>5</v>
          </cell>
          <cell r="C10">
            <v>2505796.4562399788</v>
          </cell>
        </row>
        <row r="11">
          <cell r="A11">
            <v>6</v>
          </cell>
          <cell r="C11">
            <v>2488255.8810462989</v>
          </cell>
        </row>
        <row r="12">
          <cell r="A12">
            <v>7</v>
          </cell>
          <cell r="C12">
            <v>2470838.0898789749</v>
          </cell>
        </row>
        <row r="13">
          <cell r="A13">
            <v>8</v>
          </cell>
          <cell r="C13">
            <v>2453542.2232498219</v>
          </cell>
        </row>
        <row r="14">
          <cell r="A14">
            <v>9</v>
          </cell>
          <cell r="C14">
            <v>2436367.4276870731</v>
          </cell>
        </row>
        <row r="15">
          <cell r="A15">
            <v>10</v>
          </cell>
          <cell r="C15">
            <v>2419312.8556932635</v>
          </cell>
        </row>
        <row r="16">
          <cell r="A16">
            <v>11</v>
          </cell>
          <cell r="C16">
            <v>2402377.6657034107</v>
          </cell>
        </row>
        <row r="17">
          <cell r="A17">
            <v>12</v>
          </cell>
          <cell r="C17">
            <v>2385561.0220434871</v>
          </cell>
        </row>
        <row r="18">
          <cell r="A18">
            <v>13</v>
          </cell>
          <cell r="C18">
            <v>2368862.0948891826</v>
          </cell>
        </row>
        <row r="19">
          <cell r="A19">
            <v>14</v>
          </cell>
          <cell r="C19">
            <v>2352280.0602249582</v>
          </cell>
        </row>
        <row r="20">
          <cell r="A20">
            <v>15</v>
          </cell>
          <cell r="C20">
            <v>2335814.0998033835</v>
          </cell>
        </row>
        <row r="21">
          <cell r="A21">
            <v>16</v>
          </cell>
          <cell r="C21">
            <v>2319463.4011047599</v>
          </cell>
        </row>
        <row r="22">
          <cell r="A22">
            <v>17</v>
          </cell>
          <cell r="C22">
            <v>2303227.1572970264</v>
          </cell>
        </row>
        <row r="23">
          <cell r="A23">
            <v>18</v>
          </cell>
          <cell r="C23">
            <v>2287104.5671959473</v>
          </cell>
        </row>
        <row r="24">
          <cell r="A24">
            <v>19</v>
          </cell>
          <cell r="C24">
            <v>2271094.8352255756</v>
          </cell>
        </row>
        <row r="25">
          <cell r="A25">
            <v>20</v>
          </cell>
          <cell r="C25">
            <v>2255197.1713789967</v>
          </cell>
        </row>
      </sheetData>
      <sheetData sheetId="4" refreshError="1"/>
      <sheetData sheetId="5" refreshError="1">
        <row r="21">
          <cell r="R21">
            <v>2104515.7241666666</v>
          </cell>
        </row>
        <row r="23">
          <cell r="F23">
            <v>1.6119915137772276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3D0A9-C860-4F95-9859-F76B537D8DB0}">
  <dimension ref="A1:AA45"/>
  <sheetViews>
    <sheetView workbookViewId="0">
      <selection activeCell="O6" sqref="O6"/>
    </sheetView>
  </sheetViews>
  <sheetFormatPr defaultColWidth="10.28515625" defaultRowHeight="24"/>
  <cols>
    <col min="1" max="1" width="7.140625" style="3" customWidth="1"/>
    <col min="2" max="2" width="13" style="3" customWidth="1"/>
    <col min="3" max="3" width="16.42578125" style="3" customWidth="1"/>
    <col min="4" max="4" width="19.5703125" style="3" customWidth="1"/>
    <col min="5" max="5" width="16.42578125" style="3" customWidth="1"/>
    <col min="6" max="6" width="19.28515625" style="3" customWidth="1"/>
    <col min="7" max="7" width="15.7109375" style="3" customWidth="1"/>
    <col min="8" max="8" width="12.28515625" style="3" customWidth="1"/>
    <col min="9" max="9" width="16.140625" style="3" hidden="1" customWidth="1"/>
    <col min="10" max="10" width="21.42578125" style="4" customWidth="1"/>
    <col min="11" max="11" width="25.7109375" style="4" hidden="1" customWidth="1"/>
    <col min="12" max="12" width="19.140625" style="3" hidden="1" customWidth="1"/>
    <col min="13" max="13" width="19.7109375" style="3" hidden="1" customWidth="1"/>
    <col min="14" max="14" width="20.5703125" style="3" customWidth="1"/>
    <col min="15" max="15" width="21" style="3" customWidth="1"/>
    <col min="16" max="16" width="18.42578125" style="1" customWidth="1"/>
    <col min="17" max="17" width="20.28515625" style="3" customWidth="1"/>
    <col min="18" max="18" width="25.140625" style="3" bestFit="1" customWidth="1"/>
    <col min="19" max="19" width="14.28515625" style="3" customWidth="1"/>
    <col min="20" max="20" width="19.42578125" style="3" customWidth="1"/>
    <col min="21" max="21" width="12.42578125" style="3" customWidth="1"/>
    <col min="22" max="22" width="14.28515625" style="4" customWidth="1"/>
    <col min="23" max="23" width="17.5703125" style="5" bestFit="1" customWidth="1"/>
    <col min="24" max="24" width="19.140625" style="5" customWidth="1"/>
    <col min="25" max="25" width="16.7109375" style="5" bestFit="1" customWidth="1"/>
    <col min="26" max="26" width="14.42578125" style="3" customWidth="1"/>
    <col min="27" max="28" width="10.140625" style="3" customWidth="1"/>
    <col min="29" max="29" width="12.5703125" style="3" customWidth="1"/>
    <col min="30" max="35" width="10.140625" style="3" customWidth="1"/>
    <col min="36" max="16384" width="10.28515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1"/>
      <c r="M1" s="1"/>
      <c r="N1" s="1"/>
      <c r="O1" s="1"/>
    </row>
    <row r="2" spans="1:27" ht="30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7"/>
      <c r="S2" s="8"/>
    </row>
    <row r="3" spans="1:27" ht="30">
      <c r="A3" s="182" t="s">
        <v>2</v>
      </c>
      <c r="B3" s="183"/>
      <c r="C3" s="183"/>
      <c r="D3" s="183"/>
      <c r="E3" s="183"/>
      <c r="F3" s="183"/>
      <c r="G3" s="184"/>
      <c r="H3" s="182" t="s">
        <v>3</v>
      </c>
      <c r="I3" s="183"/>
      <c r="J3" s="184"/>
      <c r="K3" s="6"/>
      <c r="L3" s="185" t="s">
        <v>4</v>
      </c>
      <c r="M3" s="186"/>
      <c r="N3" s="187"/>
      <c r="O3" s="191" t="s">
        <v>5</v>
      </c>
      <c r="P3" s="7"/>
      <c r="S3" s="8"/>
    </row>
    <row r="4" spans="1:27" ht="72">
      <c r="A4" s="193" t="s">
        <v>6</v>
      </c>
      <c r="B4" s="195" t="s">
        <v>7</v>
      </c>
      <c r="C4" s="195" t="s">
        <v>8</v>
      </c>
      <c r="D4" s="10" t="s">
        <v>9</v>
      </c>
      <c r="E4" s="195" t="s">
        <v>10</v>
      </c>
      <c r="F4" s="195"/>
      <c r="G4" s="195"/>
      <c r="H4" s="9" t="s">
        <v>11</v>
      </c>
      <c r="I4" s="9" t="s">
        <v>12</v>
      </c>
      <c r="J4" s="9" t="s">
        <v>13</v>
      </c>
      <c r="K4" s="9"/>
      <c r="L4" s="188"/>
      <c r="M4" s="189"/>
      <c r="N4" s="190"/>
      <c r="O4" s="192"/>
      <c r="P4" s="7"/>
    </row>
    <row r="5" spans="1:27">
      <c r="A5" s="194"/>
      <c r="B5" s="195"/>
      <c r="C5" s="195"/>
      <c r="D5" s="9"/>
      <c r="E5" s="11" t="s">
        <v>14</v>
      </c>
      <c r="F5" s="11" t="s">
        <v>15</v>
      </c>
      <c r="G5" s="11" t="s">
        <v>16</v>
      </c>
      <c r="H5" s="9" t="s">
        <v>17</v>
      </c>
      <c r="I5" s="9" t="s">
        <v>17</v>
      </c>
      <c r="J5" s="9" t="s">
        <v>18</v>
      </c>
      <c r="K5" s="9"/>
      <c r="L5" s="9" t="s">
        <v>17</v>
      </c>
      <c r="M5" s="9" t="s">
        <v>17</v>
      </c>
      <c r="N5" s="9" t="s">
        <v>19</v>
      </c>
      <c r="O5" s="9" t="s">
        <v>19</v>
      </c>
      <c r="P5" s="179" t="s">
        <v>20</v>
      </c>
      <c r="Q5" s="180"/>
      <c r="R5" s="12">
        <v>3000000</v>
      </c>
      <c r="S5" s="13" t="s">
        <v>21</v>
      </c>
      <c r="T5" s="14">
        <f>R5*4/1000</f>
        <v>12000</v>
      </c>
      <c r="V5" s="104" t="s">
        <v>22</v>
      </c>
      <c r="W5" s="105">
        <v>25</v>
      </c>
    </row>
    <row r="6" spans="1:27">
      <c r="A6" s="15">
        <v>0</v>
      </c>
      <c r="B6" s="16"/>
      <c r="C6" s="17">
        <f>R5</f>
        <v>3000000</v>
      </c>
      <c r="D6" s="18">
        <f>R14</f>
        <v>4380000</v>
      </c>
      <c r="E6" s="19">
        <f>D6*$R$19/365</f>
        <v>2904000</v>
      </c>
      <c r="F6" s="20">
        <f>D6*$R$20*$R$21/365</f>
        <v>1476000</v>
      </c>
      <c r="G6" s="18">
        <f>E6+F6</f>
        <v>4380000</v>
      </c>
      <c r="H6" s="21"/>
      <c r="I6" s="21"/>
      <c r="J6" s="22"/>
      <c r="K6" s="22">
        <f>-125400000</f>
        <v>-125400000</v>
      </c>
      <c r="L6" s="16"/>
      <c r="M6" s="16"/>
      <c r="N6" s="16"/>
      <c r="O6" s="23"/>
      <c r="P6" s="24"/>
      <c r="Q6" s="25"/>
      <c r="R6" s="26"/>
      <c r="S6" s="13"/>
      <c r="V6" s="104" t="s">
        <v>23</v>
      </c>
      <c r="W6" s="105">
        <f>R5*W5</f>
        <v>75000000</v>
      </c>
    </row>
    <row r="7" spans="1:27" ht="25.5">
      <c r="A7" s="27">
        <v>1</v>
      </c>
      <c r="B7" s="28">
        <v>1.7500000000000002E-2</v>
      </c>
      <c r="C7" s="29">
        <f>C6*(1-B7)</f>
        <v>2947500</v>
      </c>
      <c r="D7" s="30">
        <f>D6*(1-B7)</f>
        <v>4303350</v>
      </c>
      <c r="E7" s="19">
        <f t="shared" ref="E7:E31" si="0">D7*$R$19/365</f>
        <v>2853180</v>
      </c>
      <c r="F7" s="20">
        <f>D7*$R$20*$R$21/365</f>
        <v>1450170</v>
      </c>
      <c r="G7" s="18">
        <f t="shared" ref="G7:G31" si="1">E7+F7</f>
        <v>4303350</v>
      </c>
      <c r="H7" s="31">
        <v>3.5</v>
      </c>
      <c r="I7" s="31">
        <v>0</v>
      </c>
      <c r="J7" s="32">
        <f>(G7*H7)</f>
        <v>15061725</v>
      </c>
      <c r="K7" s="32">
        <f>(E7*H7)</f>
        <v>9986130</v>
      </c>
      <c r="L7" s="32">
        <v>0</v>
      </c>
      <c r="M7" s="32">
        <v>0</v>
      </c>
      <c r="N7" s="32">
        <f>J7*0.3</f>
        <v>4518517.5</v>
      </c>
      <c r="O7" s="33">
        <f t="shared" ref="O7:O23" si="2">J7-N7</f>
        <v>10543207.5</v>
      </c>
      <c r="P7" s="179" t="s">
        <v>24</v>
      </c>
      <c r="Q7" s="180"/>
      <c r="R7" s="12">
        <f>T7</f>
        <v>4380000</v>
      </c>
      <c r="S7" s="13" t="s">
        <v>25</v>
      </c>
      <c r="T7" s="14">
        <f>T5*365</f>
        <v>4380000</v>
      </c>
      <c r="V7" s="106" t="s">
        <v>26</v>
      </c>
      <c r="W7" s="107">
        <v>2000000</v>
      </c>
    </row>
    <row r="8" spans="1:27" ht="25.5">
      <c r="A8" s="27">
        <v>2</v>
      </c>
      <c r="B8" s="28">
        <v>3.5000000000000001E-3</v>
      </c>
      <c r="C8" s="29">
        <f t="shared" ref="C8:C31" si="3">C7*(1-B8)</f>
        <v>2937183.75</v>
      </c>
      <c r="D8" s="30">
        <f>D7*(1-B8)</f>
        <v>4288288.2750000004</v>
      </c>
      <c r="E8" s="19">
        <f t="shared" si="0"/>
        <v>2843193.87</v>
      </c>
      <c r="F8" s="20">
        <f t="shared" ref="F8:F31" si="4">D8*$R$20*$R$21/365</f>
        <v>1445094.405</v>
      </c>
      <c r="G8" s="18">
        <f t="shared" si="1"/>
        <v>4288288.2750000004</v>
      </c>
      <c r="H8" s="31">
        <v>3.5</v>
      </c>
      <c r="I8" s="31">
        <v>0</v>
      </c>
      <c r="J8" s="32">
        <f t="shared" ref="J8:J31" si="5">(G8*H8)</f>
        <v>15009008.962500002</v>
      </c>
      <c r="K8" s="32">
        <f t="shared" ref="K8:K31" si="6">(E8*H8)</f>
        <v>9951178.5449999999</v>
      </c>
      <c r="L8" s="32">
        <v>0</v>
      </c>
      <c r="M8" s="32">
        <v>0</v>
      </c>
      <c r="N8" s="32">
        <f t="shared" ref="N8:N14" si="7">J8*0.3</f>
        <v>4502702.6887500007</v>
      </c>
      <c r="O8" s="33">
        <f t="shared" si="2"/>
        <v>10506306.273750002</v>
      </c>
      <c r="P8" s="34" t="s">
        <v>27</v>
      </c>
      <c r="Q8" s="35">
        <f>SUM(O7:O14)</f>
        <v>83319626.750988469</v>
      </c>
      <c r="R8" s="25"/>
      <c r="S8" s="13"/>
      <c r="V8" s="106" t="s">
        <v>28</v>
      </c>
      <c r="W8" s="107">
        <f>W6+W7</f>
        <v>77000000</v>
      </c>
    </row>
    <row r="9" spans="1:27" ht="25.5">
      <c r="A9" s="27">
        <v>3</v>
      </c>
      <c r="B9" s="28">
        <v>3.5000000000000001E-3</v>
      </c>
      <c r="C9" s="29">
        <f t="shared" si="3"/>
        <v>2926903.6068750001</v>
      </c>
      <c r="D9" s="30">
        <f t="shared" ref="D9:D31" si="8">D8*(1-B9)</f>
        <v>4273279.2660375005</v>
      </c>
      <c r="E9" s="19">
        <f t="shared" si="0"/>
        <v>2833242.6914550005</v>
      </c>
      <c r="F9" s="20">
        <f t="shared" si="4"/>
        <v>1440036.5745825002</v>
      </c>
      <c r="G9" s="18">
        <f t="shared" si="1"/>
        <v>4273279.2660375005</v>
      </c>
      <c r="H9" s="31">
        <v>3.5</v>
      </c>
      <c r="I9" s="31">
        <v>0</v>
      </c>
      <c r="J9" s="32">
        <f t="shared" si="5"/>
        <v>14956477.431131251</v>
      </c>
      <c r="K9" s="32">
        <f t="shared" si="6"/>
        <v>9916349.4200925026</v>
      </c>
      <c r="L9" s="32">
        <v>0</v>
      </c>
      <c r="M9" s="32">
        <v>0</v>
      </c>
      <c r="N9" s="32">
        <f t="shared" si="7"/>
        <v>4486943.2293393752</v>
      </c>
      <c r="O9" s="33">
        <f t="shared" si="2"/>
        <v>10469534.201791875</v>
      </c>
      <c r="P9" s="36" t="s">
        <v>29</v>
      </c>
      <c r="Q9" s="37">
        <f>SUM(N7:N14)</f>
        <v>35708411.464709342</v>
      </c>
      <c r="R9" s="38">
        <f>Q9*0.3</f>
        <v>10712523.439412802</v>
      </c>
      <c r="S9" s="39">
        <f>Q9-R9</f>
        <v>24995888.025296539</v>
      </c>
      <c r="V9" s="4" t="s">
        <v>27</v>
      </c>
      <c r="W9" s="5">
        <f>W8/O12</f>
        <v>7.4324407550631442</v>
      </c>
      <c r="X9" s="5" t="s">
        <v>30</v>
      </c>
    </row>
    <row r="10" spans="1:27" ht="25.5">
      <c r="A10" s="27">
        <v>4</v>
      </c>
      <c r="B10" s="28">
        <v>3.5000000000000001E-3</v>
      </c>
      <c r="C10" s="29">
        <f t="shared" si="3"/>
        <v>2916659.4442509376</v>
      </c>
      <c r="D10" s="30">
        <f t="shared" si="8"/>
        <v>4258322.7886063699</v>
      </c>
      <c r="E10" s="19">
        <f t="shared" si="0"/>
        <v>2823326.342034908</v>
      </c>
      <c r="F10" s="20">
        <f t="shared" si="4"/>
        <v>1434996.4465714616</v>
      </c>
      <c r="G10" s="18">
        <f t="shared" si="1"/>
        <v>4258322.7886063699</v>
      </c>
      <c r="H10" s="31">
        <v>3.5</v>
      </c>
      <c r="I10" s="31">
        <v>0</v>
      </c>
      <c r="J10" s="32">
        <f t="shared" si="5"/>
        <v>14904129.760122295</v>
      </c>
      <c r="K10" s="32">
        <f t="shared" si="6"/>
        <v>9881642.197122179</v>
      </c>
      <c r="L10" s="32">
        <v>0</v>
      </c>
      <c r="M10" s="32">
        <v>0</v>
      </c>
      <c r="N10" s="32">
        <f t="shared" si="7"/>
        <v>4471238.9280366888</v>
      </c>
      <c r="O10" s="33">
        <f t="shared" si="2"/>
        <v>10432890.832085606</v>
      </c>
      <c r="P10" s="40"/>
      <c r="Q10" s="25"/>
      <c r="R10" s="41">
        <f>R9/10/12</f>
        <v>89271.028661773351</v>
      </c>
      <c r="S10" s="39">
        <f>S9/12/10</f>
        <v>208299.06687747117</v>
      </c>
      <c r="U10" s="14">
        <v>8</v>
      </c>
      <c r="V10" s="4" t="s">
        <v>31</v>
      </c>
      <c r="W10" s="5">
        <f>SUM(J7:J14)</f>
        <v>119028038.21569781</v>
      </c>
    </row>
    <row r="11" spans="1:27" ht="25.5">
      <c r="A11" s="27">
        <v>5</v>
      </c>
      <c r="B11" s="28">
        <v>3.5000000000000001E-3</v>
      </c>
      <c r="C11" s="29">
        <f t="shared" si="3"/>
        <v>2906451.1361960596</v>
      </c>
      <c r="D11" s="30">
        <f t="shared" si="8"/>
        <v>4243418.6588462479</v>
      </c>
      <c r="E11" s="19">
        <f t="shared" si="0"/>
        <v>2813444.6998377861</v>
      </c>
      <c r="F11" s="20">
        <f t="shared" si="4"/>
        <v>1429973.9590084616</v>
      </c>
      <c r="G11" s="18">
        <f t="shared" si="1"/>
        <v>4243418.6588462479</v>
      </c>
      <c r="H11" s="31">
        <v>3.5</v>
      </c>
      <c r="I11" s="31">
        <v>0</v>
      </c>
      <c r="J11" s="32">
        <f t="shared" si="5"/>
        <v>14851965.305961868</v>
      </c>
      <c r="K11" s="32">
        <f t="shared" si="6"/>
        <v>9847056.449432252</v>
      </c>
      <c r="L11" s="32">
        <v>0</v>
      </c>
      <c r="M11" s="32">
        <v>0</v>
      </c>
      <c r="N11" s="32">
        <f t="shared" si="7"/>
        <v>4455589.5917885602</v>
      </c>
      <c r="O11" s="33">
        <f t="shared" si="2"/>
        <v>10396375.714173308</v>
      </c>
      <c r="P11" s="179" t="s">
        <v>32</v>
      </c>
      <c r="Q11" s="180"/>
      <c r="R11" s="12">
        <f>[1]asm!C22</f>
        <v>10</v>
      </c>
      <c r="S11" s="13" t="s">
        <v>33</v>
      </c>
      <c r="U11" s="14">
        <v>8</v>
      </c>
      <c r="V11" s="4" t="s">
        <v>34</v>
      </c>
      <c r="W11" s="5">
        <f>W10*0.3</f>
        <v>35708411.464709342</v>
      </c>
      <c r="X11" s="42">
        <f>W11/U11</f>
        <v>4463551.4330886677</v>
      </c>
    </row>
    <row r="12" spans="1:27" ht="25.5">
      <c r="A12" s="27">
        <v>6</v>
      </c>
      <c r="B12" s="28">
        <v>3.5000000000000001E-3</v>
      </c>
      <c r="C12" s="29">
        <f t="shared" si="3"/>
        <v>2896278.5572193735</v>
      </c>
      <c r="D12" s="30">
        <f t="shared" si="8"/>
        <v>4228566.6935402863</v>
      </c>
      <c r="E12" s="19">
        <f t="shared" si="0"/>
        <v>2803597.6433883542</v>
      </c>
      <c r="F12" s="20">
        <f t="shared" si="4"/>
        <v>1424969.0501519321</v>
      </c>
      <c r="G12" s="18">
        <f t="shared" si="1"/>
        <v>4228566.6935402863</v>
      </c>
      <c r="H12" s="31">
        <v>3.5</v>
      </c>
      <c r="I12" s="31">
        <v>0</v>
      </c>
      <c r="J12" s="32">
        <f t="shared" si="5"/>
        <v>14799983.427391002</v>
      </c>
      <c r="K12" s="32">
        <f t="shared" si="6"/>
        <v>9812591.7518592402</v>
      </c>
      <c r="L12" s="32">
        <v>0</v>
      </c>
      <c r="M12" s="32">
        <v>0</v>
      </c>
      <c r="N12" s="32">
        <f t="shared" si="7"/>
        <v>4439995.0282173008</v>
      </c>
      <c r="O12" s="33">
        <f t="shared" si="2"/>
        <v>10359988.399173701</v>
      </c>
      <c r="P12" s="196" t="s">
        <v>35</v>
      </c>
      <c r="Q12" s="197"/>
      <c r="R12" s="43">
        <f>R11*100/365</f>
        <v>2.7397260273972601</v>
      </c>
      <c r="S12" s="13"/>
      <c r="V12" s="4" t="s">
        <v>36</v>
      </c>
      <c r="W12" s="5">
        <f>W11*30%</f>
        <v>10712523.439412802</v>
      </c>
      <c r="X12" s="5">
        <f>W12/U11</f>
        <v>1339065.4299266003</v>
      </c>
      <c r="Y12" s="5">
        <f>X12/12</f>
        <v>111588.78582721669</v>
      </c>
      <c r="Z12" s="3">
        <f>X12*100/X11</f>
        <v>30</v>
      </c>
    </row>
    <row r="13" spans="1:27">
      <c r="A13" s="15">
        <v>7</v>
      </c>
      <c r="B13" s="28">
        <v>3.5000000000000001E-3</v>
      </c>
      <c r="C13" s="29">
        <f t="shared" si="3"/>
        <v>2886141.5822691061</v>
      </c>
      <c r="D13" s="30">
        <f t="shared" si="8"/>
        <v>4213766.7101128958</v>
      </c>
      <c r="E13" s="19">
        <f t="shared" si="0"/>
        <v>2793785.0516364952</v>
      </c>
      <c r="F13" s="20">
        <f t="shared" si="4"/>
        <v>1419981.6584764007</v>
      </c>
      <c r="G13" s="18">
        <f t="shared" si="1"/>
        <v>4213766.7101128958</v>
      </c>
      <c r="H13" s="31">
        <v>3.5</v>
      </c>
      <c r="I13" s="31">
        <v>0</v>
      </c>
      <c r="J13" s="32">
        <f t="shared" si="5"/>
        <v>14748183.485395135</v>
      </c>
      <c r="K13" s="32">
        <f t="shared" si="6"/>
        <v>9778247.6807277333</v>
      </c>
      <c r="L13" s="32">
        <v>0</v>
      </c>
      <c r="M13" s="32">
        <v>0</v>
      </c>
      <c r="N13" s="32">
        <f t="shared" si="7"/>
        <v>4424455.0456185406</v>
      </c>
      <c r="O13" s="33">
        <f t="shared" si="2"/>
        <v>10323728.439776596</v>
      </c>
      <c r="P13" s="40"/>
      <c r="Q13" s="35">
        <f>SUM(O7:O14)</f>
        <v>83319626.750988469</v>
      </c>
      <c r="R13" s="45">
        <f>O12/12*9</f>
        <v>7769991.2993802764</v>
      </c>
      <c r="S13" s="46">
        <f>SUM(Q13:R13)</f>
        <v>91089618.050368741</v>
      </c>
      <c r="V13" s="4" t="s">
        <v>37</v>
      </c>
      <c r="W13" s="5">
        <f>W11*40%</f>
        <v>14283364.585883737</v>
      </c>
      <c r="X13" s="5">
        <f>W13/U11</f>
        <v>1785420.5732354671</v>
      </c>
      <c r="Y13" s="5">
        <f>X13/10</f>
        <v>178542.0573235467</v>
      </c>
      <c r="Z13" s="3">
        <f>X13*100/X11</f>
        <v>40</v>
      </c>
    </row>
    <row r="14" spans="1:27">
      <c r="A14" s="15">
        <v>8</v>
      </c>
      <c r="B14" s="28">
        <v>3.5000000000000001E-3</v>
      </c>
      <c r="C14" s="29">
        <f t="shared" si="3"/>
        <v>2876040.0867311643</v>
      </c>
      <c r="D14" s="30">
        <f t="shared" si="8"/>
        <v>4199018.5266275005</v>
      </c>
      <c r="E14" s="19">
        <f t="shared" si="0"/>
        <v>2784006.8039557678</v>
      </c>
      <c r="F14" s="20">
        <f t="shared" si="4"/>
        <v>1415011.722671733</v>
      </c>
      <c r="G14" s="18">
        <f t="shared" si="1"/>
        <v>4199018.5266275005</v>
      </c>
      <c r="H14" s="31">
        <v>3.5</v>
      </c>
      <c r="I14" s="31">
        <v>0</v>
      </c>
      <c r="J14" s="32">
        <f t="shared" si="5"/>
        <v>14696564.843196252</v>
      </c>
      <c r="K14" s="32">
        <f t="shared" si="6"/>
        <v>9744023.8138451874</v>
      </c>
      <c r="L14" s="32">
        <v>0</v>
      </c>
      <c r="M14" s="32">
        <v>0</v>
      </c>
      <c r="N14" s="32">
        <f t="shared" si="7"/>
        <v>4408969.4529588753</v>
      </c>
      <c r="O14" s="33">
        <f t="shared" si="2"/>
        <v>10287595.390237376</v>
      </c>
      <c r="P14" s="179" t="s">
        <v>38</v>
      </c>
      <c r="Q14" s="180"/>
      <c r="R14" s="12">
        <f>R7</f>
        <v>4380000</v>
      </c>
      <c r="S14" s="13" t="s">
        <v>25</v>
      </c>
      <c r="V14" s="4" t="s">
        <v>39</v>
      </c>
      <c r="W14" s="5">
        <f>W11*20%</f>
        <v>7141682.2929418683</v>
      </c>
      <c r="X14" s="5">
        <f>W14/U11</f>
        <v>892710.28661773354</v>
      </c>
      <c r="Y14" s="5">
        <f>X14/12</f>
        <v>74392.523884811133</v>
      </c>
      <c r="Z14" s="3">
        <f>X14*100/X11</f>
        <v>20</v>
      </c>
    </row>
    <row r="15" spans="1:27">
      <c r="A15" s="15">
        <v>9</v>
      </c>
      <c r="B15" s="28">
        <v>3.5000000000000001E-3</v>
      </c>
      <c r="C15" s="29">
        <f t="shared" si="3"/>
        <v>2865973.9464276051</v>
      </c>
      <c r="D15" s="30">
        <f t="shared" si="8"/>
        <v>4184321.9617843046</v>
      </c>
      <c r="E15" s="19">
        <f t="shared" si="0"/>
        <v>2774262.7801419226</v>
      </c>
      <c r="F15" s="20">
        <f t="shared" si="4"/>
        <v>1410059.1816423822</v>
      </c>
      <c r="G15" s="18">
        <f t="shared" si="1"/>
        <v>4184321.9617843051</v>
      </c>
      <c r="H15" s="31">
        <v>3.5</v>
      </c>
      <c r="I15" s="31">
        <v>0</v>
      </c>
      <c r="J15" s="32">
        <f t="shared" si="5"/>
        <v>14645126.866245069</v>
      </c>
      <c r="K15" s="32">
        <f t="shared" si="6"/>
        <v>9709919.7304967288</v>
      </c>
      <c r="L15" s="32">
        <v>0</v>
      </c>
      <c r="M15" s="32">
        <v>0</v>
      </c>
      <c r="N15" s="99">
        <f>J15*0.5</f>
        <v>7322563.4331225343</v>
      </c>
      <c r="O15" s="99">
        <f t="shared" si="2"/>
        <v>7322563.4331225343</v>
      </c>
      <c r="P15" s="40"/>
      <c r="Q15" s="25"/>
      <c r="R15" s="47"/>
      <c r="S15" s="13"/>
      <c r="V15" s="4" t="s">
        <v>40</v>
      </c>
      <c r="W15" s="5">
        <f>W11-W12-W13-W14</f>
        <v>3570841.1464709342</v>
      </c>
      <c r="X15" s="5">
        <f>W15/U11</f>
        <v>446355.14330886677</v>
      </c>
      <c r="Y15" s="5">
        <f>X15/12</f>
        <v>37196.261942405567</v>
      </c>
      <c r="Z15" s="3">
        <f>100-Z12-Z13-Z14</f>
        <v>10</v>
      </c>
    </row>
    <row r="16" spans="1:27">
      <c r="A16" s="15">
        <v>10</v>
      </c>
      <c r="B16" s="28">
        <v>3.5000000000000001E-3</v>
      </c>
      <c r="C16" s="29">
        <f t="shared" si="3"/>
        <v>2855943.0376151088</v>
      </c>
      <c r="D16" s="30">
        <f t="shared" si="8"/>
        <v>4169676.8349180599</v>
      </c>
      <c r="E16" s="19">
        <f t="shared" si="0"/>
        <v>2764552.8604114261</v>
      </c>
      <c r="F16" s="20">
        <f t="shared" si="4"/>
        <v>1405123.9745066338</v>
      </c>
      <c r="G16" s="18">
        <f t="shared" si="1"/>
        <v>4169676.8349180599</v>
      </c>
      <c r="H16" s="31">
        <v>3.5</v>
      </c>
      <c r="I16" s="31">
        <v>0</v>
      </c>
      <c r="J16" s="32">
        <f t="shared" si="5"/>
        <v>14593868.92221321</v>
      </c>
      <c r="K16" s="32">
        <f t="shared" si="6"/>
        <v>9675935.0114399903</v>
      </c>
      <c r="L16" s="32">
        <v>0</v>
      </c>
      <c r="M16" s="32">
        <v>0</v>
      </c>
      <c r="N16" s="99">
        <f t="shared" ref="N16:N31" si="9">J16*0.5</f>
        <v>7296934.4611066049</v>
      </c>
      <c r="O16" s="99">
        <f t="shared" si="2"/>
        <v>7296934.4611066049</v>
      </c>
      <c r="P16" s="179" t="s">
        <v>41</v>
      </c>
      <c r="Q16" s="180"/>
      <c r="R16" s="48">
        <v>0.47</v>
      </c>
      <c r="S16" s="13"/>
      <c r="U16" s="108"/>
      <c r="V16" s="109"/>
      <c r="W16" s="110" t="s">
        <v>34</v>
      </c>
      <c r="X16" s="110" t="s">
        <v>66</v>
      </c>
      <c r="Y16" s="110" t="s">
        <v>67</v>
      </c>
      <c r="Z16" s="50"/>
      <c r="AA16" s="4"/>
    </row>
    <row r="17" spans="1:27">
      <c r="A17" s="15">
        <v>11</v>
      </c>
      <c r="B17" s="28">
        <v>3.5000000000000001E-3</v>
      </c>
      <c r="C17" s="29">
        <f t="shared" si="3"/>
        <v>2845947.2369834562</v>
      </c>
      <c r="D17" s="30">
        <f t="shared" si="8"/>
        <v>4155082.9659958468</v>
      </c>
      <c r="E17" s="19">
        <f t="shared" si="0"/>
        <v>2754876.9253999861</v>
      </c>
      <c r="F17" s="20">
        <f>D17*$R$20*$R$21/365</f>
        <v>1400206.0405958607</v>
      </c>
      <c r="G17" s="18">
        <f t="shared" si="1"/>
        <v>4155082.9659958468</v>
      </c>
      <c r="H17" s="31">
        <v>3.5</v>
      </c>
      <c r="I17" s="31">
        <v>0</v>
      </c>
      <c r="J17" s="32">
        <f t="shared" si="5"/>
        <v>14542790.380985463</v>
      </c>
      <c r="K17" s="32">
        <f t="shared" si="6"/>
        <v>9642069.2388999518</v>
      </c>
      <c r="L17" s="32">
        <v>0</v>
      </c>
      <c r="M17" s="32">
        <v>0</v>
      </c>
      <c r="N17" s="99">
        <f t="shared" si="9"/>
        <v>7271395.1904927315</v>
      </c>
      <c r="O17" s="99">
        <f t="shared" si="2"/>
        <v>7271395.1904927315</v>
      </c>
      <c r="P17" s="40"/>
      <c r="Q17" s="25"/>
      <c r="R17" s="47"/>
      <c r="S17" s="25"/>
      <c r="U17" s="111"/>
      <c r="V17" s="112" t="s">
        <v>64</v>
      </c>
      <c r="W17" s="113">
        <f>SUM(J7:J21)</f>
        <v>220473766.62214226</v>
      </c>
      <c r="X17" s="113">
        <f>W17-W8</f>
        <v>143473766.62214226</v>
      </c>
      <c r="Y17" s="113">
        <f>X17*100/W8</f>
        <v>186.32956704174319</v>
      </c>
      <c r="Z17" s="5"/>
      <c r="AA17" s="53"/>
    </row>
    <row r="18" spans="1:27">
      <c r="A18" s="15">
        <v>12</v>
      </c>
      <c r="B18" s="28">
        <v>3.5000000000000001E-3</v>
      </c>
      <c r="C18" s="29">
        <f t="shared" si="3"/>
        <v>2835986.4216540144</v>
      </c>
      <c r="D18" s="30">
        <f t="shared" si="8"/>
        <v>4140540.1756148613</v>
      </c>
      <c r="E18" s="19">
        <f t="shared" si="0"/>
        <v>2745234.8561610864</v>
      </c>
      <c r="F18" s="20">
        <f t="shared" si="4"/>
        <v>1395305.3194537752</v>
      </c>
      <c r="G18" s="18">
        <f t="shared" si="1"/>
        <v>4140540.1756148618</v>
      </c>
      <c r="H18" s="31">
        <v>3.5</v>
      </c>
      <c r="I18" s="31">
        <v>0</v>
      </c>
      <c r="J18" s="32">
        <f t="shared" si="5"/>
        <v>14491890.614652015</v>
      </c>
      <c r="K18" s="32">
        <f t="shared" si="6"/>
        <v>9608321.9965638015</v>
      </c>
      <c r="L18" s="32">
        <v>0</v>
      </c>
      <c r="M18" s="32">
        <v>0</v>
      </c>
      <c r="N18" s="99">
        <f t="shared" si="9"/>
        <v>7245945.3073260076</v>
      </c>
      <c r="O18" s="99">
        <f t="shared" si="2"/>
        <v>7245945.3073260076</v>
      </c>
      <c r="P18" s="40"/>
      <c r="Q18" s="25"/>
      <c r="R18" s="25"/>
      <c r="S18" s="25"/>
      <c r="U18" s="108"/>
      <c r="V18" s="112" t="s">
        <v>65</v>
      </c>
      <c r="W18" s="113">
        <f>J32</f>
        <v>361144627.53956616</v>
      </c>
      <c r="X18" s="113">
        <f>W18-W8</f>
        <v>284144627.53956616</v>
      </c>
      <c r="Y18" s="113">
        <f>X18*100/W8</f>
        <v>369.01899680463134</v>
      </c>
      <c r="Z18" s="5"/>
    </row>
    <row r="19" spans="1:27">
      <c r="A19" s="15">
        <v>13</v>
      </c>
      <c r="B19" s="28">
        <v>3.5000000000000001E-3</v>
      </c>
      <c r="C19" s="29">
        <f t="shared" si="3"/>
        <v>2826060.4691782254</v>
      </c>
      <c r="D19" s="30">
        <f t="shared" si="8"/>
        <v>4126048.2850002097</v>
      </c>
      <c r="E19" s="19">
        <f t="shared" si="0"/>
        <v>2735626.5341645223</v>
      </c>
      <c r="F19" s="20">
        <f t="shared" si="4"/>
        <v>1390421.7508356872</v>
      </c>
      <c r="G19" s="18">
        <f t="shared" si="1"/>
        <v>4126048.2850002097</v>
      </c>
      <c r="H19" s="31">
        <v>3.5</v>
      </c>
      <c r="I19" s="31">
        <v>0</v>
      </c>
      <c r="J19" s="32">
        <f t="shared" si="5"/>
        <v>14441168.997500734</v>
      </c>
      <c r="K19" s="32">
        <f t="shared" si="6"/>
        <v>9574692.8695758283</v>
      </c>
      <c r="L19" s="32">
        <v>0</v>
      </c>
      <c r="M19" s="32">
        <v>0</v>
      </c>
      <c r="N19" s="99">
        <f t="shared" si="9"/>
        <v>7220584.4987503672</v>
      </c>
      <c r="O19" s="99">
        <f t="shared" si="2"/>
        <v>7220584.4987503672</v>
      </c>
      <c r="P19" s="179" t="s">
        <v>43</v>
      </c>
      <c r="Q19" s="180"/>
      <c r="R19" s="54">
        <f>[1]asm!C24</f>
        <v>242</v>
      </c>
      <c r="S19" s="13" t="s">
        <v>33</v>
      </c>
      <c r="T19" s="55"/>
      <c r="U19" s="108"/>
      <c r="V19" s="112"/>
      <c r="W19" s="113">
        <f>W18-W17</f>
        <v>140670860.9174239</v>
      </c>
      <c r="X19" s="113">
        <f>X18-X17</f>
        <v>140670860.9174239</v>
      </c>
      <c r="Y19" s="113">
        <f>Y18-Y17</f>
        <v>182.68942976288815</v>
      </c>
      <c r="Z19" s="5"/>
    </row>
    <row r="20" spans="1:27">
      <c r="A20" s="15">
        <v>14</v>
      </c>
      <c r="B20" s="28">
        <v>3.5000000000000001E-3</v>
      </c>
      <c r="C20" s="29">
        <f t="shared" si="3"/>
        <v>2816169.2575361016</v>
      </c>
      <c r="D20" s="30">
        <f t="shared" si="8"/>
        <v>4111607.1160027091</v>
      </c>
      <c r="E20" s="19">
        <f t="shared" si="0"/>
        <v>2726051.8412949466</v>
      </c>
      <c r="F20" s="20">
        <f t="shared" si="4"/>
        <v>1385555.2747077623</v>
      </c>
      <c r="G20" s="18">
        <f t="shared" si="1"/>
        <v>4111607.1160027087</v>
      </c>
      <c r="H20" s="31">
        <v>3.5</v>
      </c>
      <c r="I20" s="31">
        <v>0</v>
      </c>
      <c r="J20" s="32">
        <f t="shared" si="5"/>
        <v>14390624.90600948</v>
      </c>
      <c r="K20" s="32">
        <f t="shared" si="6"/>
        <v>9541181.4445323125</v>
      </c>
      <c r="L20" s="32">
        <v>0</v>
      </c>
      <c r="M20" s="32">
        <v>0</v>
      </c>
      <c r="N20" s="99">
        <f t="shared" si="9"/>
        <v>7195312.4530047402</v>
      </c>
      <c r="O20" s="99">
        <f t="shared" si="2"/>
        <v>7195312.4530047402</v>
      </c>
      <c r="P20" s="179" t="s">
        <v>44</v>
      </c>
      <c r="Q20" s="180"/>
      <c r="R20" s="56">
        <f>365-R19</f>
        <v>123</v>
      </c>
      <c r="S20" s="13" t="s">
        <v>33</v>
      </c>
      <c r="T20" s="55"/>
      <c r="Z20" s="5"/>
    </row>
    <row r="21" spans="1:27">
      <c r="A21" s="15">
        <v>15</v>
      </c>
      <c r="B21" s="28">
        <v>3.5000000000000001E-3</v>
      </c>
      <c r="C21" s="29">
        <f t="shared" si="3"/>
        <v>2806312.6651347256</v>
      </c>
      <c r="D21" s="30">
        <f t="shared" si="8"/>
        <v>4097216.4910967001</v>
      </c>
      <c r="E21" s="19">
        <f t="shared" si="0"/>
        <v>2716510.6598504148</v>
      </c>
      <c r="F21" s="20">
        <f t="shared" si="4"/>
        <v>1380705.8312462852</v>
      </c>
      <c r="G21" s="18">
        <f t="shared" si="1"/>
        <v>4097216.4910967001</v>
      </c>
      <c r="H21" s="31">
        <v>3.5</v>
      </c>
      <c r="I21" s="31">
        <v>0</v>
      </c>
      <c r="J21" s="32">
        <f t="shared" si="5"/>
        <v>14340257.71883845</v>
      </c>
      <c r="K21" s="32">
        <f t="shared" si="6"/>
        <v>9507787.3094764519</v>
      </c>
      <c r="L21" s="32">
        <v>0</v>
      </c>
      <c r="M21" s="32">
        <v>0</v>
      </c>
      <c r="N21" s="99">
        <f t="shared" si="9"/>
        <v>7170128.8594192248</v>
      </c>
      <c r="O21" s="99">
        <f t="shared" si="2"/>
        <v>7170128.8594192248</v>
      </c>
      <c r="P21" s="179" t="s">
        <v>45</v>
      </c>
      <c r="Q21" s="180"/>
      <c r="R21" s="57">
        <f>(IF([1]การใช้ไฟย้อนหลัง!F23&gt;=1,1,[1]การใช้ไฟย้อนหลัง!F23))</f>
        <v>1</v>
      </c>
      <c r="S21" s="25"/>
    </row>
    <row r="22" spans="1:27">
      <c r="A22" s="15">
        <v>16</v>
      </c>
      <c r="B22" s="28">
        <v>3.5000000000000001E-3</v>
      </c>
      <c r="C22" s="29">
        <f t="shared" si="3"/>
        <v>2796490.5708067543</v>
      </c>
      <c r="D22" s="30">
        <f t="shared" si="8"/>
        <v>4082876.2333778618</v>
      </c>
      <c r="E22" s="19">
        <f t="shared" si="0"/>
        <v>2707002.8725409382</v>
      </c>
      <c r="F22" s="20">
        <f t="shared" si="4"/>
        <v>1375873.3608369234</v>
      </c>
      <c r="G22" s="18">
        <f t="shared" si="1"/>
        <v>4082876.2333778618</v>
      </c>
      <c r="H22" s="31">
        <v>3.5</v>
      </c>
      <c r="I22" s="31">
        <v>0</v>
      </c>
      <c r="J22" s="32">
        <f t="shared" si="5"/>
        <v>14290066.816822516</v>
      </c>
      <c r="K22" s="32">
        <f t="shared" si="6"/>
        <v>9474510.053893283</v>
      </c>
      <c r="L22" s="32">
        <v>0</v>
      </c>
      <c r="M22" s="32">
        <v>0</v>
      </c>
      <c r="N22" s="99">
        <f t="shared" si="9"/>
        <v>7145033.4084112579</v>
      </c>
      <c r="O22" s="99">
        <f t="shared" si="2"/>
        <v>7145033.4084112579</v>
      </c>
      <c r="P22" s="40"/>
      <c r="Q22" s="25"/>
      <c r="R22" s="25"/>
      <c r="S22" s="25"/>
      <c r="V22" s="58"/>
      <c r="Z22" s="59"/>
      <c r="AA22" s="59"/>
    </row>
    <row r="23" spans="1:27">
      <c r="A23" s="15">
        <v>17</v>
      </c>
      <c r="B23" s="28">
        <v>3.5000000000000001E-3</v>
      </c>
      <c r="C23" s="29">
        <f t="shared" si="3"/>
        <v>2786702.8538089306</v>
      </c>
      <c r="D23" s="30">
        <f t="shared" si="8"/>
        <v>4068586.1665610396</v>
      </c>
      <c r="E23" s="19">
        <f t="shared" si="0"/>
        <v>2697528.3624870456</v>
      </c>
      <c r="F23" s="20">
        <f t="shared" si="4"/>
        <v>1371057.804073994</v>
      </c>
      <c r="G23" s="18">
        <f t="shared" si="1"/>
        <v>4068586.1665610396</v>
      </c>
      <c r="H23" s="31">
        <v>3.5</v>
      </c>
      <c r="I23" s="31">
        <v>0</v>
      </c>
      <c r="J23" s="32">
        <f t="shared" si="5"/>
        <v>14240051.582963638</v>
      </c>
      <c r="K23" s="32">
        <f t="shared" si="6"/>
        <v>9441349.2687046602</v>
      </c>
      <c r="L23" s="32">
        <v>0</v>
      </c>
      <c r="M23" s="32">
        <v>0</v>
      </c>
      <c r="N23" s="99">
        <f t="shared" si="9"/>
        <v>7120025.791481819</v>
      </c>
      <c r="O23" s="99">
        <f t="shared" si="2"/>
        <v>7120025.791481819</v>
      </c>
      <c r="P23" s="179" t="s">
        <v>46</v>
      </c>
      <c r="Q23" s="180"/>
      <c r="R23" s="60">
        <v>6.6</v>
      </c>
      <c r="S23" s="61"/>
      <c r="T23" s="14"/>
      <c r="V23" s="62"/>
    </row>
    <row r="24" spans="1:27">
      <c r="A24" s="15">
        <v>18</v>
      </c>
      <c r="B24" s="28">
        <v>3.5000000000000001E-3</v>
      </c>
      <c r="C24" s="29">
        <f t="shared" si="3"/>
        <v>2776949.3938205997</v>
      </c>
      <c r="D24" s="30">
        <f t="shared" si="8"/>
        <v>4054346.1149780764</v>
      </c>
      <c r="E24" s="19">
        <f t="shared" si="0"/>
        <v>2688087.0132183409</v>
      </c>
      <c r="F24" s="20">
        <f t="shared" si="4"/>
        <v>1366259.1017597353</v>
      </c>
      <c r="G24" s="18">
        <f t="shared" si="1"/>
        <v>4054346.114978076</v>
      </c>
      <c r="H24" s="31">
        <v>3.5</v>
      </c>
      <c r="I24" s="31">
        <v>0</v>
      </c>
      <c r="J24" s="32">
        <f t="shared" si="5"/>
        <v>14190211.402423266</v>
      </c>
      <c r="K24" s="32">
        <f t="shared" si="6"/>
        <v>9408304.546264194</v>
      </c>
      <c r="L24" s="32">
        <v>0</v>
      </c>
      <c r="M24" s="32">
        <v>0</v>
      </c>
      <c r="N24" s="99">
        <f t="shared" si="9"/>
        <v>7095105.7012116332</v>
      </c>
      <c r="O24" s="99">
        <f>J24-N24</f>
        <v>7095105.7012116332</v>
      </c>
      <c r="P24" s="179" t="s">
        <v>71</v>
      </c>
      <c r="Q24" s="180"/>
      <c r="R24" s="60">
        <v>3.5</v>
      </c>
      <c r="S24" s="61"/>
      <c r="T24" s="14"/>
    </row>
    <row r="25" spans="1:27">
      <c r="A25" s="15">
        <v>19</v>
      </c>
      <c r="B25" s="28">
        <v>3.5000000000000001E-3</v>
      </c>
      <c r="C25" s="29">
        <f t="shared" si="3"/>
        <v>2767230.0709422277</v>
      </c>
      <c r="D25" s="30">
        <f t="shared" si="8"/>
        <v>4040155.9035756532</v>
      </c>
      <c r="E25" s="19">
        <f t="shared" si="0"/>
        <v>2678678.7086720769</v>
      </c>
      <c r="F25" s="20">
        <f t="shared" si="4"/>
        <v>1361477.1949035763</v>
      </c>
      <c r="G25" s="18">
        <f t="shared" si="1"/>
        <v>4040155.9035756532</v>
      </c>
      <c r="H25" s="31">
        <v>3.5</v>
      </c>
      <c r="I25" s="31">
        <v>0</v>
      </c>
      <c r="J25" s="32">
        <f t="shared" si="5"/>
        <v>14140545.662514787</v>
      </c>
      <c r="K25" s="32">
        <f t="shared" si="6"/>
        <v>9375375.4803522695</v>
      </c>
      <c r="L25" s="32">
        <v>0</v>
      </c>
      <c r="M25" s="32">
        <v>0</v>
      </c>
      <c r="N25" s="99">
        <f t="shared" si="9"/>
        <v>7070272.8312573936</v>
      </c>
      <c r="O25" s="99">
        <f t="shared" ref="O25:O30" si="10">J25-N25</f>
        <v>7070272.8312573936</v>
      </c>
      <c r="P25" s="63" t="s">
        <v>48</v>
      </c>
      <c r="Q25" s="64"/>
      <c r="R25" s="65">
        <f>W8</f>
        <v>77000000</v>
      </c>
      <c r="S25" s="61" t="s">
        <v>49</v>
      </c>
      <c r="T25" s="14"/>
    </row>
    <row r="26" spans="1:27">
      <c r="A26" s="15">
        <v>20</v>
      </c>
      <c r="B26" s="28">
        <v>3.5000000000000001E-3</v>
      </c>
      <c r="C26" s="29">
        <f t="shared" si="3"/>
        <v>2757544.76569393</v>
      </c>
      <c r="D26" s="30">
        <f t="shared" si="8"/>
        <v>4026015.3579131388</v>
      </c>
      <c r="E26" s="19">
        <f t="shared" si="0"/>
        <v>2669303.333191725</v>
      </c>
      <c r="F26" s="20">
        <f t="shared" si="4"/>
        <v>1356712.0247214139</v>
      </c>
      <c r="G26" s="18">
        <f t="shared" si="1"/>
        <v>4026015.3579131388</v>
      </c>
      <c r="H26" s="31">
        <v>3.5</v>
      </c>
      <c r="I26" s="31">
        <v>0</v>
      </c>
      <c r="J26" s="32">
        <f t="shared" si="5"/>
        <v>14091053.752695985</v>
      </c>
      <c r="K26" s="32">
        <f t="shared" si="6"/>
        <v>9342561.6661710367</v>
      </c>
      <c r="L26" s="32">
        <v>0</v>
      </c>
      <c r="M26" s="32">
        <v>0</v>
      </c>
      <c r="N26" s="99">
        <f t="shared" si="9"/>
        <v>7045526.8763479926</v>
      </c>
      <c r="O26" s="99">
        <f t="shared" si="10"/>
        <v>7045526.8763479926</v>
      </c>
      <c r="P26" s="66" t="s">
        <v>37</v>
      </c>
      <c r="Q26" s="67" t="s">
        <v>50</v>
      </c>
      <c r="R26" s="68"/>
      <c r="T26" s="14"/>
    </row>
    <row r="27" spans="1:27">
      <c r="A27" s="15">
        <v>21</v>
      </c>
      <c r="B27" s="28">
        <v>3.5000000000000001E-3</v>
      </c>
      <c r="C27" s="29">
        <f t="shared" si="3"/>
        <v>2747893.3590140012</v>
      </c>
      <c r="D27" s="30">
        <f t="shared" si="8"/>
        <v>4011924.3041604431</v>
      </c>
      <c r="E27" s="19">
        <f t="shared" si="0"/>
        <v>2659960.7715255544</v>
      </c>
      <c r="F27" s="20">
        <f t="shared" si="4"/>
        <v>1351963.532634889</v>
      </c>
      <c r="G27" s="18">
        <f t="shared" si="1"/>
        <v>4011924.3041604431</v>
      </c>
      <c r="H27" s="31">
        <v>3.5</v>
      </c>
      <c r="I27" s="31">
        <v>0</v>
      </c>
      <c r="J27" s="32">
        <f t="shared" si="5"/>
        <v>14041735.064561551</v>
      </c>
      <c r="K27" s="32">
        <f t="shared" si="6"/>
        <v>9309862.7003394403</v>
      </c>
      <c r="L27" s="32">
        <v>0</v>
      </c>
      <c r="M27" s="32">
        <v>0</v>
      </c>
      <c r="N27" s="99">
        <f t="shared" si="9"/>
        <v>7020867.5322807757</v>
      </c>
      <c r="O27" s="99">
        <f t="shared" si="10"/>
        <v>7020867.5322807757</v>
      </c>
      <c r="P27" s="66"/>
      <c r="Q27" s="67" t="s">
        <v>51</v>
      </c>
      <c r="R27" s="68"/>
      <c r="T27" s="14"/>
    </row>
    <row r="28" spans="1:27">
      <c r="A28" s="15">
        <v>22</v>
      </c>
      <c r="B28" s="28">
        <v>3.5000000000000001E-3</v>
      </c>
      <c r="C28" s="29">
        <f t="shared" si="3"/>
        <v>2738275.7322574523</v>
      </c>
      <c r="D28" s="30">
        <f t="shared" si="8"/>
        <v>3997882.5690958817</v>
      </c>
      <c r="E28" s="19">
        <f t="shared" si="0"/>
        <v>2650650.9088252145</v>
      </c>
      <c r="F28" s="20">
        <f t="shared" si="4"/>
        <v>1347231.6602706669</v>
      </c>
      <c r="G28" s="18">
        <f t="shared" si="1"/>
        <v>3997882.5690958817</v>
      </c>
      <c r="H28" s="31">
        <v>3.5</v>
      </c>
      <c r="I28" s="31">
        <v>0</v>
      </c>
      <c r="J28" s="32">
        <f t="shared" si="5"/>
        <v>13992588.991835587</v>
      </c>
      <c r="K28" s="32">
        <f t="shared" si="6"/>
        <v>9277278.1808882505</v>
      </c>
      <c r="L28" s="32">
        <v>0</v>
      </c>
      <c r="M28" s="32">
        <v>0</v>
      </c>
      <c r="N28" s="99">
        <f t="shared" si="9"/>
        <v>6996294.4959177934</v>
      </c>
      <c r="O28" s="99">
        <f t="shared" si="10"/>
        <v>6996294.4959177934</v>
      </c>
      <c r="P28" s="66"/>
      <c r="Q28" s="67" t="s">
        <v>52</v>
      </c>
      <c r="R28" s="68"/>
      <c r="T28" s="14"/>
    </row>
    <row r="29" spans="1:27">
      <c r="A29" s="15">
        <v>23</v>
      </c>
      <c r="B29" s="28">
        <v>3.5000000000000001E-3</v>
      </c>
      <c r="C29" s="29">
        <f t="shared" si="3"/>
        <v>2728691.7671945514</v>
      </c>
      <c r="D29" s="30">
        <f t="shared" si="8"/>
        <v>3983889.9801040464</v>
      </c>
      <c r="E29" s="19">
        <f t="shared" si="0"/>
        <v>2641373.6306443266</v>
      </c>
      <c r="F29" s="20">
        <f t="shared" si="4"/>
        <v>1342516.3494597198</v>
      </c>
      <c r="G29" s="18">
        <f t="shared" si="1"/>
        <v>3983889.9801040464</v>
      </c>
      <c r="H29" s="31">
        <v>3.5</v>
      </c>
      <c r="I29" s="31">
        <v>0</v>
      </c>
      <c r="J29" s="32">
        <f t="shared" si="5"/>
        <v>13943614.930364162</v>
      </c>
      <c r="K29" s="32">
        <f t="shared" si="6"/>
        <v>9244807.7072551437</v>
      </c>
      <c r="L29" s="32">
        <v>0</v>
      </c>
      <c r="M29" s="32">
        <v>0</v>
      </c>
      <c r="N29" s="99">
        <f t="shared" si="9"/>
        <v>6971807.4651820809</v>
      </c>
      <c r="O29" s="99">
        <f t="shared" si="10"/>
        <v>6971807.4651820809</v>
      </c>
      <c r="P29" s="66"/>
      <c r="Q29" s="67" t="s">
        <v>53</v>
      </c>
      <c r="R29" s="68"/>
      <c r="T29" s="14"/>
    </row>
    <row r="30" spans="1:27">
      <c r="A30" s="15">
        <v>24</v>
      </c>
      <c r="B30" s="28">
        <v>3.5000000000000001E-3</v>
      </c>
      <c r="C30" s="29">
        <f t="shared" si="3"/>
        <v>2719141.3460093704</v>
      </c>
      <c r="D30" s="30">
        <f t="shared" si="8"/>
        <v>3969946.3651736826</v>
      </c>
      <c r="E30" s="19">
        <f t="shared" si="0"/>
        <v>2632128.8229370718</v>
      </c>
      <c r="F30" s="20">
        <f t="shared" si="4"/>
        <v>1337817.5422366108</v>
      </c>
      <c r="G30" s="18">
        <f t="shared" si="1"/>
        <v>3969946.3651736826</v>
      </c>
      <c r="H30" s="31">
        <v>3.5</v>
      </c>
      <c r="I30" s="31">
        <v>0</v>
      </c>
      <c r="J30" s="32">
        <f t="shared" si="5"/>
        <v>13894812.278107889</v>
      </c>
      <c r="K30" s="32">
        <f t="shared" si="6"/>
        <v>9212450.8802797515</v>
      </c>
      <c r="L30" s="32">
        <v>0</v>
      </c>
      <c r="M30" s="32">
        <v>0</v>
      </c>
      <c r="N30" s="99">
        <f t="shared" si="9"/>
        <v>6947406.1390539445</v>
      </c>
      <c r="O30" s="99">
        <f t="shared" si="10"/>
        <v>6947406.1390539445</v>
      </c>
      <c r="P30" s="66"/>
      <c r="Q30" s="67" t="s">
        <v>54</v>
      </c>
      <c r="R30" s="68"/>
      <c r="T30" s="14"/>
    </row>
    <row r="31" spans="1:27">
      <c r="A31" s="15">
        <v>25</v>
      </c>
      <c r="B31" s="28">
        <v>3.5000000000000001E-3</v>
      </c>
      <c r="C31" s="29">
        <f t="shared" si="3"/>
        <v>2709624.3512983378</v>
      </c>
      <c r="D31" s="30">
        <f t="shared" si="8"/>
        <v>3956051.5528955748</v>
      </c>
      <c r="E31" s="19">
        <f t="shared" si="0"/>
        <v>2622916.372056792</v>
      </c>
      <c r="F31" s="20">
        <f t="shared" si="4"/>
        <v>1333135.1808387828</v>
      </c>
      <c r="G31" s="18">
        <f t="shared" si="1"/>
        <v>3956051.5528955748</v>
      </c>
      <c r="H31" s="31">
        <v>3.5</v>
      </c>
      <c r="I31" s="31">
        <v>0</v>
      </c>
      <c r="J31" s="32">
        <f t="shared" si="5"/>
        <v>13846180.435134511</v>
      </c>
      <c r="K31" s="32">
        <f t="shared" si="6"/>
        <v>9180207.3021987714</v>
      </c>
      <c r="L31" s="32">
        <v>0</v>
      </c>
      <c r="M31" s="32">
        <v>0</v>
      </c>
      <c r="N31" s="99">
        <f t="shared" si="9"/>
        <v>6923090.2175672557</v>
      </c>
      <c r="O31" s="99">
        <f>J31-N31</f>
        <v>6923090.2175672557</v>
      </c>
      <c r="P31" s="69"/>
      <c r="Q31" s="70"/>
      <c r="T31" s="14"/>
    </row>
    <row r="32" spans="1:27">
      <c r="A32" s="15" t="s">
        <v>55</v>
      </c>
      <c r="B32" s="71">
        <f>SUM(B7:B31)</f>
        <v>0.10150000000000006</v>
      </c>
      <c r="C32" s="72">
        <f>AVERAGE(C6:C31)</f>
        <v>2833619.0541891176</v>
      </c>
      <c r="D32" s="73">
        <f>SUM(D7:D26)</f>
        <v>83264484.525589257</v>
      </c>
      <c r="E32" s="73"/>
      <c r="F32" s="73"/>
      <c r="G32" s="73"/>
      <c r="H32" s="74"/>
      <c r="I32" s="74"/>
      <c r="J32" s="75">
        <f>SUM(J7:J31)</f>
        <v>361144627.53956616</v>
      </c>
      <c r="K32" s="75">
        <f t="shared" ref="K32:M32" si="11">SUM(K7:N31)</f>
        <v>396210541.37205452</v>
      </c>
      <c r="L32" s="75">
        <f t="shared" si="11"/>
        <v>361144627.53956622</v>
      </c>
      <c r="M32" s="75">
        <f t="shared" si="11"/>
        <v>361144627.53956622</v>
      </c>
      <c r="N32" s="75">
        <f>SUM(N7:N31)</f>
        <v>156766706.12664348</v>
      </c>
      <c r="O32" s="76">
        <f>SUM(O7:O31)</f>
        <v>204377921.41292262</v>
      </c>
      <c r="P32" s="77"/>
    </row>
    <row r="33" spans="1:20">
      <c r="A33" s="78"/>
      <c r="B33" s="79"/>
      <c r="C33" s="80"/>
      <c r="D33" s="73"/>
      <c r="E33" s="81"/>
      <c r="F33" s="81"/>
      <c r="G33" s="81"/>
      <c r="H33" s="82"/>
      <c r="I33" s="82"/>
      <c r="J33" s="77"/>
      <c r="K33" s="77"/>
      <c r="L33" s="77"/>
      <c r="M33" s="77"/>
      <c r="N33" s="83" t="s">
        <v>56</v>
      </c>
      <c r="O33" s="83">
        <v>5.75</v>
      </c>
      <c r="P33" s="77" t="s">
        <v>57</v>
      </c>
      <c r="Q33" s="3">
        <f>9/12</f>
        <v>0.75</v>
      </c>
    </row>
    <row r="34" spans="1:20">
      <c r="B34" s="4"/>
      <c r="C34" s="84"/>
      <c r="D34" s="85">
        <f>D32*1.07</f>
        <v>89092998.442380518</v>
      </c>
      <c r="E34" s="86"/>
      <c r="F34" s="86"/>
      <c r="G34" s="86"/>
      <c r="H34" s="86"/>
      <c r="J34" s="87" t="s">
        <v>58</v>
      </c>
      <c r="K34" s="88">
        <f>NPV(0.1%,K7:K26)</f>
        <v>191227497.25424004</v>
      </c>
      <c r="L34" s="88"/>
      <c r="M34" s="88"/>
      <c r="N34" s="89" t="s">
        <v>58</v>
      </c>
      <c r="O34" s="89">
        <f>NPV(10%,O7:O26)</f>
        <v>78581529.707078621</v>
      </c>
      <c r="P34" s="90" t="s">
        <v>49</v>
      </c>
      <c r="R34" s="3">
        <f>(IF([1]การใช้ไฟย้อนหลัง!F23&gt;=1,1,[1]การใช้ไฟย้อนหลัง!F23))</f>
        <v>1</v>
      </c>
    </row>
    <row r="35" spans="1:20">
      <c r="B35" s="4"/>
      <c r="C35" s="91" t="s">
        <v>59</v>
      </c>
      <c r="D35" s="92">
        <f>AVERAGE(D6:D26)</f>
        <v>4173546.882170917</v>
      </c>
      <c r="E35" s="92">
        <f>D35*100/[1]การใช้ไฟย้อนหลัง!R21</f>
        <v>198.31388448397232</v>
      </c>
      <c r="F35" s="92"/>
      <c r="G35" s="92"/>
      <c r="H35" s="92"/>
      <c r="I35" s="87"/>
      <c r="N35" s="89" t="s">
        <v>60</v>
      </c>
      <c r="O35" s="93" t="e">
        <f>IRR(O6:O31,0.1)</f>
        <v>#NUM!</v>
      </c>
      <c r="Q35" s="4"/>
    </row>
    <row r="36" spans="1:20">
      <c r="B36" s="4"/>
      <c r="C36" s="91"/>
      <c r="D36" s="92"/>
      <c r="E36" s="92"/>
      <c r="F36" s="92"/>
      <c r="G36" s="92"/>
      <c r="H36" s="92"/>
      <c r="I36" s="87"/>
      <c r="N36" s="89"/>
      <c r="O36" s="93"/>
      <c r="Q36" s="4"/>
    </row>
    <row r="37" spans="1:20">
      <c r="B37" s="4"/>
      <c r="C37" s="4"/>
      <c r="D37" s="52"/>
      <c r="E37" s="52"/>
      <c r="F37" s="52"/>
      <c r="G37" s="52"/>
      <c r="H37" s="52"/>
      <c r="I37" s="87"/>
      <c r="Q37" s="4"/>
      <c r="T37" s="94"/>
    </row>
    <row r="38" spans="1:20">
      <c r="C38" s="4"/>
      <c r="D38" s="95"/>
      <c r="E38" s="95"/>
      <c r="F38" s="95"/>
      <c r="G38" s="95"/>
      <c r="H38" s="95"/>
      <c r="I38" s="87"/>
      <c r="Q38" s="4"/>
    </row>
    <row r="39" spans="1:20">
      <c r="B39" s="94"/>
    </row>
    <row r="40" spans="1:20">
      <c r="B40" s="96"/>
      <c r="C40" s="50"/>
      <c r="D40" s="95"/>
      <c r="E40" s="95"/>
      <c r="F40" s="95"/>
      <c r="G40" s="95"/>
      <c r="H40" s="95"/>
      <c r="I40" s="87"/>
    </row>
    <row r="41" spans="1:20">
      <c r="C41" s="50"/>
      <c r="D41" s="95"/>
      <c r="E41" s="95"/>
      <c r="F41" s="95"/>
      <c r="G41" s="95"/>
      <c r="H41" s="95"/>
      <c r="I41" s="87"/>
    </row>
    <row r="45" spans="1:20">
      <c r="J45" s="3"/>
      <c r="K45" s="3"/>
    </row>
  </sheetData>
  <mergeCells count="20">
    <mergeCell ref="P16:Q16"/>
    <mergeCell ref="A2:O2"/>
    <mergeCell ref="A3:G3"/>
    <mergeCell ref="H3:J3"/>
    <mergeCell ref="L3:N4"/>
    <mergeCell ref="O3:O4"/>
    <mergeCell ref="A4:A5"/>
    <mergeCell ref="B4:B5"/>
    <mergeCell ref="C4:C5"/>
    <mergeCell ref="E4:G4"/>
    <mergeCell ref="P5:Q5"/>
    <mergeCell ref="P7:Q7"/>
    <mergeCell ref="P11:Q11"/>
    <mergeCell ref="P12:Q12"/>
    <mergeCell ref="P14:Q14"/>
    <mergeCell ref="P19:Q19"/>
    <mergeCell ref="P20:Q20"/>
    <mergeCell ref="P21:Q21"/>
    <mergeCell ref="P23:Q23"/>
    <mergeCell ref="P24:Q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269C-ED67-4ACD-8CFE-EA2A318D3388}">
  <dimension ref="A1:AB45"/>
  <sheetViews>
    <sheetView topLeftCell="F1" workbookViewId="0">
      <selection activeCell="P1" sqref="P1:P1048576"/>
    </sheetView>
  </sheetViews>
  <sheetFormatPr defaultColWidth="10.28515625" defaultRowHeight="24"/>
  <cols>
    <col min="1" max="1" width="7.140625" style="3" customWidth="1"/>
    <col min="2" max="2" width="13" style="3" customWidth="1"/>
    <col min="3" max="3" width="16.42578125" style="3" customWidth="1"/>
    <col min="4" max="4" width="19.5703125" style="3" customWidth="1"/>
    <col min="5" max="5" width="16.42578125" style="3" customWidth="1"/>
    <col min="6" max="6" width="19.28515625" style="3" customWidth="1"/>
    <col min="7" max="7" width="15.7109375" style="3" customWidth="1"/>
    <col min="8" max="8" width="12.28515625" style="3" customWidth="1"/>
    <col min="9" max="9" width="16.140625" style="3" hidden="1" customWidth="1"/>
    <col min="10" max="10" width="21.42578125" style="4" customWidth="1"/>
    <col min="11" max="11" width="25.7109375" style="4" hidden="1" customWidth="1"/>
    <col min="12" max="12" width="19.140625" style="3" hidden="1" customWidth="1"/>
    <col min="13" max="13" width="19.7109375" style="3" hidden="1" customWidth="1"/>
    <col min="14" max="14" width="20.42578125" style="3" customWidth="1"/>
    <col min="15" max="15" width="21" style="3" customWidth="1"/>
    <col min="16" max="16" width="13.5703125" style="170" hidden="1" customWidth="1"/>
    <col min="17" max="17" width="18.42578125" style="1" customWidth="1"/>
    <col min="18" max="18" width="20.28515625" style="3" customWidth="1"/>
    <col min="19" max="19" width="25.140625" style="3" bestFit="1" customWidth="1"/>
    <col min="20" max="20" width="19.5703125" style="3" customWidth="1"/>
    <col min="21" max="21" width="19.42578125" style="3" customWidth="1"/>
    <col min="22" max="22" width="12.42578125" style="3" customWidth="1"/>
    <col min="23" max="23" width="14.28515625" style="4" customWidth="1"/>
    <col min="24" max="24" width="17.5703125" style="5" bestFit="1" customWidth="1"/>
    <col min="25" max="25" width="19.140625" style="5" customWidth="1"/>
    <col min="26" max="26" width="16.7109375" style="5" bestFit="1" customWidth="1"/>
    <col min="27" max="27" width="14.42578125" style="3" customWidth="1"/>
    <col min="28" max="29" width="10.140625" style="3" customWidth="1"/>
    <col min="30" max="30" width="12.5703125" style="3" customWidth="1"/>
    <col min="31" max="36" width="10.140625" style="3" customWidth="1"/>
    <col min="37" max="16384" width="10.28515625" style="3"/>
  </cols>
  <sheetData>
    <row r="1" spans="1:28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1"/>
      <c r="M1" s="1"/>
      <c r="N1" s="1"/>
      <c r="O1" s="1"/>
    </row>
    <row r="2" spans="1:28" ht="30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71"/>
      <c r="Q2" s="7"/>
      <c r="T2" s="8"/>
    </row>
    <row r="3" spans="1:28" ht="30">
      <c r="A3" s="182" t="s">
        <v>2</v>
      </c>
      <c r="B3" s="183"/>
      <c r="C3" s="183"/>
      <c r="D3" s="183"/>
      <c r="E3" s="183"/>
      <c r="F3" s="183"/>
      <c r="G3" s="184"/>
      <c r="H3" s="182" t="s">
        <v>3</v>
      </c>
      <c r="I3" s="183"/>
      <c r="J3" s="184"/>
      <c r="K3" s="6"/>
      <c r="L3" s="185" t="s">
        <v>4</v>
      </c>
      <c r="M3" s="186"/>
      <c r="N3" s="187"/>
      <c r="O3" s="198" t="s">
        <v>5</v>
      </c>
      <c r="P3" s="172"/>
      <c r="Q3" s="7"/>
      <c r="T3" s="8"/>
    </row>
    <row r="4" spans="1:28" ht="72">
      <c r="A4" s="193" t="s">
        <v>6</v>
      </c>
      <c r="B4" s="195" t="s">
        <v>7</v>
      </c>
      <c r="C4" s="195" t="s">
        <v>8</v>
      </c>
      <c r="D4" s="10" t="s">
        <v>9</v>
      </c>
      <c r="E4" s="195" t="s">
        <v>10</v>
      </c>
      <c r="F4" s="195"/>
      <c r="G4" s="195"/>
      <c r="H4" s="9" t="s">
        <v>11</v>
      </c>
      <c r="I4" s="9" t="s">
        <v>12</v>
      </c>
      <c r="J4" s="9" t="s">
        <v>13</v>
      </c>
      <c r="K4" s="9"/>
      <c r="L4" s="188"/>
      <c r="M4" s="189"/>
      <c r="N4" s="190"/>
      <c r="O4" s="199"/>
      <c r="P4" s="172" t="s">
        <v>74</v>
      </c>
      <c r="Q4" s="7"/>
    </row>
    <row r="5" spans="1:28">
      <c r="A5" s="194"/>
      <c r="B5" s="195"/>
      <c r="C5" s="195"/>
      <c r="D5" s="9"/>
      <c r="E5" s="11" t="s">
        <v>14</v>
      </c>
      <c r="F5" s="11" t="s">
        <v>15</v>
      </c>
      <c r="G5" s="11" t="s">
        <v>16</v>
      </c>
      <c r="H5" s="9" t="s">
        <v>17</v>
      </c>
      <c r="I5" s="9" t="s">
        <v>17</v>
      </c>
      <c r="J5" s="9" t="s">
        <v>18</v>
      </c>
      <c r="K5" s="9"/>
      <c r="L5" s="9" t="s">
        <v>17</v>
      </c>
      <c r="M5" s="9" t="s">
        <v>17</v>
      </c>
      <c r="N5" s="9" t="s">
        <v>19</v>
      </c>
      <c r="O5" s="165" t="s">
        <v>19</v>
      </c>
      <c r="P5" s="172"/>
      <c r="Q5" s="179" t="s">
        <v>20</v>
      </c>
      <c r="R5" s="180"/>
      <c r="S5" s="12">
        <v>3000000</v>
      </c>
      <c r="T5" s="13" t="s">
        <v>21</v>
      </c>
      <c r="U5" s="14">
        <f>S5*4/1000</f>
        <v>12000</v>
      </c>
      <c r="W5" s="100" t="s">
        <v>22</v>
      </c>
      <c r="X5" s="101">
        <v>25</v>
      </c>
    </row>
    <row r="6" spans="1:28">
      <c r="A6" s="15">
        <v>0</v>
      </c>
      <c r="B6" s="16"/>
      <c r="C6" s="17">
        <f>S5</f>
        <v>3000000</v>
      </c>
      <c r="D6" s="18">
        <f>S14</f>
        <v>4380000</v>
      </c>
      <c r="E6" s="19">
        <f>D6*$S$19/365</f>
        <v>2904000</v>
      </c>
      <c r="F6" s="20">
        <f>D6*$S$20*$S$21/365</f>
        <v>1180800</v>
      </c>
      <c r="G6" s="18">
        <f>E6+F6</f>
        <v>4084800</v>
      </c>
      <c r="H6" s="31">
        <v>4</v>
      </c>
      <c r="I6" s="21"/>
      <c r="J6" s="32">
        <f>(G6*H6)*0.8</f>
        <v>13071360</v>
      </c>
      <c r="K6" s="22">
        <f>-125400000</f>
        <v>-125400000</v>
      </c>
      <c r="L6" s="16"/>
      <c r="M6" s="16"/>
      <c r="N6" s="32">
        <f>J6*0.3</f>
        <v>3921408</v>
      </c>
      <c r="O6" s="164">
        <f>-X8+J6-N6</f>
        <v>-67850048</v>
      </c>
      <c r="P6" s="173">
        <v>0</v>
      </c>
      <c r="Q6" s="24"/>
      <c r="R6" s="25"/>
      <c r="S6" s="26"/>
      <c r="T6" s="13"/>
      <c r="W6" s="100" t="s">
        <v>23</v>
      </c>
      <c r="X6" s="101">
        <f>S5*X5</f>
        <v>75000000</v>
      </c>
    </row>
    <row r="7" spans="1:28" ht="25.5">
      <c r="A7" s="27">
        <v>1</v>
      </c>
      <c r="B7" s="28">
        <v>1.7500000000000002E-2</v>
      </c>
      <c r="C7" s="29">
        <f>C6*(1-B7)</f>
        <v>2947500</v>
      </c>
      <c r="D7" s="30">
        <f>D6*(1-B7)</f>
        <v>4303350</v>
      </c>
      <c r="E7" s="19">
        <f t="shared" ref="E7:E31" si="0">D7*$S$19/365</f>
        <v>2853180</v>
      </c>
      <c r="F7" s="20">
        <f>D7*$S$20*$S$21/365</f>
        <v>1160136</v>
      </c>
      <c r="G7" s="18">
        <f t="shared" ref="G7:G31" si="1">E7+F7</f>
        <v>4013316</v>
      </c>
      <c r="H7" s="31">
        <v>4</v>
      </c>
      <c r="I7" s="31">
        <v>0</v>
      </c>
      <c r="J7" s="32">
        <f t="shared" ref="J7:J31" si="2">(G7*H7)</f>
        <v>16053264</v>
      </c>
      <c r="K7" s="32">
        <f>(E7*H7)</f>
        <v>11412720</v>
      </c>
      <c r="L7" s="32">
        <v>0</v>
      </c>
      <c r="M7" s="32">
        <v>0</v>
      </c>
      <c r="N7" s="32">
        <f>J7*0.3</f>
        <v>4815979.2</v>
      </c>
      <c r="O7" s="166">
        <f t="shared" ref="O7:O23" si="3">J7-N7</f>
        <v>11237284.800000001</v>
      </c>
      <c r="P7" s="174">
        <f>O6+O7</f>
        <v>-56612763.200000003</v>
      </c>
      <c r="Q7" s="179" t="s">
        <v>24</v>
      </c>
      <c r="R7" s="180"/>
      <c r="S7" s="12">
        <f>U7</f>
        <v>4380000</v>
      </c>
      <c r="T7" s="13" t="s">
        <v>25</v>
      </c>
      <c r="U7" s="14">
        <f>U5*365</f>
        <v>4380000</v>
      </c>
      <c r="W7" s="102" t="s">
        <v>26</v>
      </c>
      <c r="X7" s="103">
        <v>2000000</v>
      </c>
    </row>
    <row r="8" spans="1:28" ht="25.5">
      <c r="A8" s="27">
        <v>2</v>
      </c>
      <c r="B8" s="28">
        <v>3.5000000000000001E-3</v>
      </c>
      <c r="C8" s="29">
        <f t="shared" ref="C8:C31" si="4">C7*(1-B8)</f>
        <v>2937183.75</v>
      </c>
      <c r="D8" s="30">
        <f>D7*(1-B8)</f>
        <v>4288288.2750000004</v>
      </c>
      <c r="E8" s="19">
        <f t="shared" si="0"/>
        <v>2843193.87</v>
      </c>
      <c r="F8" s="20">
        <f t="shared" ref="F8:F31" si="5">D8*$S$20*$S$21/365</f>
        <v>1156075.5240000002</v>
      </c>
      <c r="G8" s="18">
        <f t="shared" si="1"/>
        <v>3999269.3940000003</v>
      </c>
      <c r="H8" s="31">
        <v>4</v>
      </c>
      <c r="I8" s="31">
        <v>0</v>
      </c>
      <c r="J8" s="32">
        <f t="shared" si="2"/>
        <v>15997077.576000001</v>
      </c>
      <c r="K8" s="32">
        <f t="shared" ref="K8:K31" si="6">(E8*H8)</f>
        <v>11372775.48</v>
      </c>
      <c r="L8" s="32">
        <v>0</v>
      </c>
      <c r="M8" s="32">
        <v>0</v>
      </c>
      <c r="N8" s="32">
        <f t="shared" ref="N8:N13" si="7">J8*0.3</f>
        <v>4799123.2728000004</v>
      </c>
      <c r="O8" s="166">
        <f t="shared" si="3"/>
        <v>11197954.303200001</v>
      </c>
      <c r="P8" s="174">
        <f>P7+O8</f>
        <v>-45414808.896800004</v>
      </c>
      <c r="Q8" s="34" t="s">
        <v>73</v>
      </c>
      <c r="R8" s="35">
        <f>SUM(J6:J13)</f>
        <v>124271151.89354061</v>
      </c>
      <c r="S8" s="25"/>
      <c r="T8" s="13"/>
      <c r="W8" s="102" t="s">
        <v>28</v>
      </c>
      <c r="X8" s="103">
        <f>X6+X7</f>
        <v>77000000</v>
      </c>
    </row>
    <row r="9" spans="1:28" ht="25.5">
      <c r="A9" s="27">
        <v>3</v>
      </c>
      <c r="B9" s="28">
        <v>3.5000000000000001E-3</v>
      </c>
      <c r="C9" s="29">
        <f t="shared" si="4"/>
        <v>2926903.6068750001</v>
      </c>
      <c r="D9" s="30">
        <f t="shared" ref="D9:D31" si="8">D8*(1-B9)</f>
        <v>4273279.2660375005</v>
      </c>
      <c r="E9" s="19">
        <f t="shared" si="0"/>
        <v>2833242.6914550005</v>
      </c>
      <c r="F9" s="20">
        <f t="shared" si="5"/>
        <v>1152029.2596660003</v>
      </c>
      <c r="G9" s="18">
        <f t="shared" si="1"/>
        <v>3985271.9511210006</v>
      </c>
      <c r="H9" s="31">
        <v>4</v>
      </c>
      <c r="I9" s="31">
        <v>0</v>
      </c>
      <c r="J9" s="32">
        <f t="shared" si="2"/>
        <v>15941087.804484002</v>
      </c>
      <c r="K9" s="32">
        <f t="shared" si="6"/>
        <v>11332970.765820002</v>
      </c>
      <c r="L9" s="32">
        <v>0</v>
      </c>
      <c r="M9" s="32">
        <v>0</v>
      </c>
      <c r="N9" s="32">
        <f t="shared" si="7"/>
        <v>4782326.3413452003</v>
      </c>
      <c r="O9" s="166">
        <f t="shared" si="3"/>
        <v>11158761.463138802</v>
      </c>
      <c r="P9" s="174">
        <f t="shared" ref="P9:P13" si="9">P8+O9</f>
        <v>-34256047.4336612</v>
      </c>
      <c r="Q9" s="169" t="s">
        <v>77</v>
      </c>
      <c r="R9" s="37">
        <f>SUM(N6:N13)</f>
        <v>37281345.568062179</v>
      </c>
      <c r="S9" s="38">
        <v>0</v>
      </c>
      <c r="T9" s="3" t="s">
        <v>75</v>
      </c>
      <c r="U9" s="39">
        <f>(R8-R9)</f>
        <v>86989806.325478435</v>
      </c>
      <c r="W9" s="4" t="s">
        <v>27</v>
      </c>
      <c r="X9" s="5">
        <f>7+SUM(O7:O13)/X8</f>
        <v>8.0109071990321876</v>
      </c>
      <c r="Y9" s="5" t="s">
        <v>30</v>
      </c>
    </row>
    <row r="10" spans="1:28" ht="25.5">
      <c r="A10" s="27">
        <v>4</v>
      </c>
      <c r="B10" s="28">
        <v>3.5000000000000001E-3</v>
      </c>
      <c r="C10" s="29">
        <f t="shared" si="4"/>
        <v>2916659.4442509376</v>
      </c>
      <c r="D10" s="30">
        <f t="shared" si="8"/>
        <v>4258322.7886063699</v>
      </c>
      <c r="E10" s="19">
        <f t="shared" si="0"/>
        <v>2823326.342034908</v>
      </c>
      <c r="F10" s="20">
        <f t="shared" si="5"/>
        <v>1147997.1572571695</v>
      </c>
      <c r="G10" s="18">
        <f t="shared" si="1"/>
        <v>3971323.4992920775</v>
      </c>
      <c r="H10" s="31">
        <v>4</v>
      </c>
      <c r="I10" s="31">
        <v>0</v>
      </c>
      <c r="J10" s="32">
        <f t="shared" si="2"/>
        <v>15885293.99716831</v>
      </c>
      <c r="K10" s="32">
        <f t="shared" si="6"/>
        <v>11293305.368139632</v>
      </c>
      <c r="L10" s="32">
        <v>0</v>
      </c>
      <c r="M10" s="32">
        <v>0</v>
      </c>
      <c r="N10" s="32">
        <f t="shared" si="7"/>
        <v>4765588.1991504924</v>
      </c>
      <c r="O10" s="166">
        <f t="shared" si="3"/>
        <v>11119705.798017818</v>
      </c>
      <c r="P10" s="174">
        <f t="shared" si="9"/>
        <v>-23136341.635643382</v>
      </c>
      <c r="Q10" s="40"/>
      <c r="R10" s="25"/>
      <c r="S10" s="41">
        <f>S9/10/12</f>
        <v>0</v>
      </c>
      <c r="U10" s="39">
        <f>U9/12/10</f>
        <v>724915.05271232023</v>
      </c>
      <c r="V10" s="14">
        <f>ROUNDUP(X9,0)</f>
        <v>9</v>
      </c>
      <c r="W10" s="4" t="s">
        <v>31</v>
      </c>
      <c r="X10" s="5">
        <f>SUM(J6:M13)</f>
        <v>77926233.086950779</v>
      </c>
    </row>
    <row r="11" spans="1:28" ht="25.5">
      <c r="A11" s="27">
        <v>5</v>
      </c>
      <c r="B11" s="28">
        <v>3.5000000000000001E-3</v>
      </c>
      <c r="C11" s="29">
        <f t="shared" si="4"/>
        <v>2906451.1361960596</v>
      </c>
      <c r="D11" s="30">
        <f t="shared" si="8"/>
        <v>4243418.6588462479</v>
      </c>
      <c r="E11" s="19">
        <f t="shared" si="0"/>
        <v>2813444.6998377861</v>
      </c>
      <c r="F11" s="20">
        <f t="shared" si="5"/>
        <v>1143979.1672067693</v>
      </c>
      <c r="G11" s="18">
        <f t="shared" si="1"/>
        <v>3957423.8670445555</v>
      </c>
      <c r="H11" s="31">
        <v>4</v>
      </c>
      <c r="I11" s="31">
        <v>0</v>
      </c>
      <c r="J11" s="32">
        <f t="shared" si="2"/>
        <v>15829695.468178222</v>
      </c>
      <c r="K11" s="32">
        <f t="shared" si="6"/>
        <v>11253778.799351145</v>
      </c>
      <c r="L11" s="32">
        <v>0</v>
      </c>
      <c r="M11" s="32">
        <v>0</v>
      </c>
      <c r="N11" s="32">
        <f t="shared" si="7"/>
        <v>4748908.6404534662</v>
      </c>
      <c r="O11" s="166">
        <f t="shared" si="3"/>
        <v>11080786.827724755</v>
      </c>
      <c r="P11" s="174">
        <f t="shared" si="9"/>
        <v>-12055554.807918627</v>
      </c>
      <c r="Q11" s="179" t="s">
        <v>32</v>
      </c>
      <c r="R11" s="180"/>
      <c r="S11" s="12">
        <f>[1]asm!C22</f>
        <v>10</v>
      </c>
      <c r="T11" s="13" t="s">
        <v>33</v>
      </c>
      <c r="V11" s="14">
        <f>ROUNDUP(X9,0)</f>
        <v>9</v>
      </c>
      <c r="W11" s="4" t="s">
        <v>34</v>
      </c>
      <c r="X11" s="5">
        <f>X10*0.3</f>
        <v>23377869.926085234</v>
      </c>
      <c r="Y11" s="42">
        <f>X11/V11</f>
        <v>2597541.1028983593</v>
      </c>
    </row>
    <row r="12" spans="1:28" ht="25.5">
      <c r="A12" s="27">
        <v>6</v>
      </c>
      <c r="B12" s="28">
        <v>3.5000000000000001E-3</v>
      </c>
      <c r="C12" s="29">
        <f t="shared" si="4"/>
        <v>2896278.5572193735</v>
      </c>
      <c r="D12" s="30">
        <f t="shared" si="8"/>
        <v>4228566.6935402863</v>
      </c>
      <c r="E12" s="19">
        <f t="shared" si="0"/>
        <v>2803597.6433883542</v>
      </c>
      <c r="F12" s="20">
        <f t="shared" si="5"/>
        <v>1139975.2401215457</v>
      </c>
      <c r="G12" s="18">
        <f t="shared" si="1"/>
        <v>3943572.8835099</v>
      </c>
      <c r="H12" s="31">
        <v>4</v>
      </c>
      <c r="I12" s="31">
        <v>0</v>
      </c>
      <c r="J12" s="32">
        <f t="shared" si="2"/>
        <v>15774291.5340396</v>
      </c>
      <c r="K12" s="32">
        <f t="shared" si="6"/>
        <v>11214390.573553417</v>
      </c>
      <c r="L12" s="32">
        <v>0</v>
      </c>
      <c r="M12" s="32">
        <v>0</v>
      </c>
      <c r="N12" s="32">
        <f t="shared" si="7"/>
        <v>4732287.4602118796</v>
      </c>
      <c r="O12" s="166">
        <f t="shared" si="3"/>
        <v>11042004.073827721</v>
      </c>
      <c r="P12" s="174">
        <f t="shared" si="9"/>
        <v>-1013550.7340909056</v>
      </c>
      <c r="Q12" s="196" t="s">
        <v>35</v>
      </c>
      <c r="R12" s="197"/>
      <c r="S12" s="43">
        <f>S11*100/365</f>
        <v>2.7397260273972601</v>
      </c>
      <c r="T12" s="13"/>
      <c r="W12" s="4" t="s">
        <v>36</v>
      </c>
      <c r="X12" s="5">
        <f>X11*30%</f>
        <v>7013360.9778255699</v>
      </c>
      <c r="Y12" s="5">
        <f>X12/V11</f>
        <v>779262.33086950774</v>
      </c>
      <c r="Z12" s="5">
        <f>Y12/12</f>
        <v>64938.527572458981</v>
      </c>
      <c r="AA12" s="3">
        <f>Y12*100/Y11</f>
        <v>30</v>
      </c>
    </row>
    <row r="13" spans="1:28">
      <c r="A13" s="15">
        <v>7</v>
      </c>
      <c r="B13" s="28">
        <v>3.5000000000000001E-3</v>
      </c>
      <c r="C13" s="29">
        <f t="shared" si="4"/>
        <v>2886141.5822691061</v>
      </c>
      <c r="D13" s="30">
        <f t="shared" si="8"/>
        <v>4213766.7101128958</v>
      </c>
      <c r="E13" s="19">
        <f t="shared" si="0"/>
        <v>2793785.0516364952</v>
      </c>
      <c r="F13" s="20">
        <f t="shared" si="5"/>
        <v>1135985.3267811206</v>
      </c>
      <c r="G13" s="18">
        <f t="shared" si="1"/>
        <v>3929770.3784176158</v>
      </c>
      <c r="H13" s="31">
        <v>4</v>
      </c>
      <c r="I13" s="31">
        <v>0</v>
      </c>
      <c r="J13" s="32">
        <f t="shared" si="2"/>
        <v>15719081.513670463</v>
      </c>
      <c r="K13" s="32">
        <f t="shared" si="6"/>
        <v>11175140.206545981</v>
      </c>
      <c r="L13" s="32">
        <v>0</v>
      </c>
      <c r="M13" s="32">
        <v>0</v>
      </c>
      <c r="N13" s="32">
        <f t="shared" si="7"/>
        <v>4715724.4541011387</v>
      </c>
      <c r="O13" s="166">
        <f t="shared" si="3"/>
        <v>11003357.059569325</v>
      </c>
      <c r="P13" s="174">
        <f t="shared" si="9"/>
        <v>9989806.3254784197</v>
      </c>
      <c r="Q13" s="40"/>
      <c r="R13" s="35">
        <f>SUM(O7:O13)</f>
        <v>77839854.32547842</v>
      </c>
      <c r="S13" s="45">
        <f>O12/12*9</f>
        <v>8281503.0553707909</v>
      </c>
      <c r="T13" s="46">
        <f>SUM(R13:S13)</f>
        <v>86121357.380849212</v>
      </c>
      <c r="W13" s="4" t="s">
        <v>37</v>
      </c>
      <c r="X13" s="5">
        <f>X11*40%</f>
        <v>9351147.9704340938</v>
      </c>
      <c r="Y13" s="5">
        <f>X13/V11</f>
        <v>1039016.4411593438</v>
      </c>
      <c r="Z13" s="5">
        <f>Y13/10</f>
        <v>103901.64411593438</v>
      </c>
      <c r="AA13" s="3">
        <f>Y13*100/Y11</f>
        <v>40.000000000000007</v>
      </c>
    </row>
    <row r="14" spans="1:28">
      <c r="A14" s="15">
        <v>8</v>
      </c>
      <c r="B14" s="28">
        <v>3.5000000000000001E-3</v>
      </c>
      <c r="C14" s="29">
        <f t="shared" si="4"/>
        <v>2876040.0867311643</v>
      </c>
      <c r="D14" s="30">
        <f t="shared" si="8"/>
        <v>4199018.5266275005</v>
      </c>
      <c r="E14" s="19">
        <f t="shared" si="0"/>
        <v>2784006.8039557678</v>
      </c>
      <c r="F14" s="20">
        <f t="shared" si="5"/>
        <v>1132009.3781373864</v>
      </c>
      <c r="G14" s="18">
        <f t="shared" si="1"/>
        <v>3916016.1820931542</v>
      </c>
      <c r="H14" s="31">
        <v>4</v>
      </c>
      <c r="I14" s="31">
        <v>0</v>
      </c>
      <c r="J14" s="32">
        <f t="shared" si="2"/>
        <v>15664064.728372617</v>
      </c>
      <c r="K14" s="32">
        <f t="shared" si="6"/>
        <v>11136027.215823071</v>
      </c>
      <c r="L14" s="32">
        <v>0</v>
      </c>
      <c r="M14" s="32">
        <v>0</v>
      </c>
      <c r="N14" s="99">
        <f>J14*0.5</f>
        <v>7832032.3641863083</v>
      </c>
      <c r="O14" s="167">
        <f t="shared" si="3"/>
        <v>7832032.3641863083</v>
      </c>
      <c r="P14" s="175"/>
      <c r="Q14" s="179" t="s">
        <v>38</v>
      </c>
      <c r="R14" s="180"/>
      <c r="S14" s="12">
        <f>S7</f>
        <v>4380000</v>
      </c>
      <c r="T14" s="13" t="s">
        <v>25</v>
      </c>
      <c r="W14" s="4" t="s">
        <v>39</v>
      </c>
      <c r="X14" s="5">
        <f>X11*20%</f>
        <v>4675573.9852170469</v>
      </c>
      <c r="Y14" s="5">
        <f>X14/V11</f>
        <v>519508.22057967191</v>
      </c>
      <c r="Z14" s="5">
        <f>Y14/12</f>
        <v>43292.351714972661</v>
      </c>
      <c r="AA14" s="3">
        <f>Y14*100/Y11</f>
        <v>20.000000000000004</v>
      </c>
    </row>
    <row r="15" spans="1:28">
      <c r="A15" s="15">
        <v>9</v>
      </c>
      <c r="B15" s="28">
        <v>3.5000000000000001E-3</v>
      </c>
      <c r="C15" s="29">
        <f t="shared" si="4"/>
        <v>2865973.9464276051</v>
      </c>
      <c r="D15" s="30">
        <f t="shared" si="8"/>
        <v>4184321.9617843046</v>
      </c>
      <c r="E15" s="19">
        <f t="shared" si="0"/>
        <v>2774262.7801419226</v>
      </c>
      <c r="F15" s="20">
        <f t="shared" si="5"/>
        <v>1128047.3453139057</v>
      </c>
      <c r="G15" s="18">
        <f t="shared" si="1"/>
        <v>3902310.1254558284</v>
      </c>
      <c r="H15" s="31">
        <v>4</v>
      </c>
      <c r="I15" s="31">
        <v>0</v>
      </c>
      <c r="J15" s="32">
        <f t="shared" si="2"/>
        <v>15609240.501823314</v>
      </c>
      <c r="K15" s="32">
        <f t="shared" si="6"/>
        <v>11097051.120567691</v>
      </c>
      <c r="L15" s="32">
        <v>0</v>
      </c>
      <c r="M15" s="32">
        <v>0</v>
      </c>
      <c r="N15" s="99">
        <f t="shared" ref="N15:N31" si="10">J15*0.5</f>
        <v>7804620.2509116568</v>
      </c>
      <c r="O15" s="167">
        <f t="shared" si="3"/>
        <v>7804620.2509116568</v>
      </c>
      <c r="P15" s="175"/>
      <c r="Q15" s="40"/>
      <c r="R15" s="25"/>
      <c r="S15" s="47"/>
      <c r="T15" s="13"/>
      <c r="W15" s="4" t="s">
        <v>40</v>
      </c>
      <c r="X15" s="5">
        <f>X11-X12-X13-X14</f>
        <v>2337786.9926085221</v>
      </c>
      <c r="Y15" s="5">
        <f>X15/V11</f>
        <v>259754.11028983578</v>
      </c>
      <c r="Z15" s="5">
        <f>Y15/12</f>
        <v>21646.175857486316</v>
      </c>
      <c r="AA15" s="3">
        <f>100-AA12-AA13-AA14</f>
        <v>9.9999999999999893</v>
      </c>
    </row>
    <row r="16" spans="1:28">
      <c r="A16" s="15">
        <v>10</v>
      </c>
      <c r="B16" s="28">
        <v>3.5000000000000001E-3</v>
      </c>
      <c r="C16" s="29">
        <f t="shared" si="4"/>
        <v>2855943.0376151088</v>
      </c>
      <c r="D16" s="30">
        <f t="shared" si="8"/>
        <v>4169676.8349180599</v>
      </c>
      <c r="E16" s="19">
        <f t="shared" si="0"/>
        <v>2764552.8604114261</v>
      </c>
      <c r="F16" s="20">
        <f t="shared" si="5"/>
        <v>1124099.1796053071</v>
      </c>
      <c r="G16" s="18">
        <f t="shared" si="1"/>
        <v>3888652.0400167331</v>
      </c>
      <c r="H16" s="31">
        <v>4</v>
      </c>
      <c r="I16" s="31">
        <v>0</v>
      </c>
      <c r="J16" s="32">
        <f t="shared" si="2"/>
        <v>15554608.160066932</v>
      </c>
      <c r="K16" s="32">
        <f t="shared" si="6"/>
        <v>11058211.441645704</v>
      </c>
      <c r="L16" s="32">
        <v>0</v>
      </c>
      <c r="M16" s="32">
        <v>0</v>
      </c>
      <c r="N16" s="99">
        <f t="shared" si="10"/>
        <v>7777304.0800334662</v>
      </c>
      <c r="O16" s="167">
        <f t="shared" si="3"/>
        <v>7777304.0800334662</v>
      </c>
      <c r="P16" s="175"/>
      <c r="Q16" s="179" t="s">
        <v>41</v>
      </c>
      <c r="R16" s="180"/>
      <c r="S16" s="48">
        <v>0.4</v>
      </c>
      <c r="T16" s="13"/>
      <c r="W16" s="49" t="s">
        <v>42</v>
      </c>
      <c r="AA16" s="50"/>
      <c r="AB16" s="4"/>
    </row>
    <row r="17" spans="1:28">
      <c r="A17" s="15">
        <v>11</v>
      </c>
      <c r="B17" s="28">
        <v>3.5000000000000001E-3</v>
      </c>
      <c r="C17" s="29">
        <f t="shared" si="4"/>
        <v>2845947.2369834562</v>
      </c>
      <c r="D17" s="30">
        <f t="shared" si="8"/>
        <v>4155082.9659958468</v>
      </c>
      <c r="E17" s="19">
        <f t="shared" si="0"/>
        <v>2754876.9253999861</v>
      </c>
      <c r="F17" s="20">
        <f>D17*$S$20*$S$21/365</f>
        <v>1120164.8324766885</v>
      </c>
      <c r="G17" s="18">
        <f t="shared" si="1"/>
        <v>3875041.7578766746</v>
      </c>
      <c r="H17" s="31">
        <v>4</v>
      </c>
      <c r="I17" s="31">
        <v>0</v>
      </c>
      <c r="J17" s="32">
        <f t="shared" si="2"/>
        <v>15500167.031506699</v>
      </c>
      <c r="K17" s="32">
        <f t="shared" si="6"/>
        <v>11019507.701599944</v>
      </c>
      <c r="L17" s="32">
        <v>0</v>
      </c>
      <c r="M17" s="32">
        <v>0</v>
      </c>
      <c r="N17" s="99">
        <f t="shared" si="10"/>
        <v>7750083.5157533493</v>
      </c>
      <c r="O17" s="167">
        <f t="shared" si="3"/>
        <v>7750083.5157533493</v>
      </c>
      <c r="P17" s="175"/>
      <c r="Q17" s="40"/>
      <c r="R17" s="25"/>
      <c r="S17" s="47"/>
      <c r="T17" s="25"/>
      <c r="V17" s="51"/>
      <c r="W17" s="4" t="s">
        <v>34</v>
      </c>
      <c r="Y17" s="5">
        <f>J13</f>
        <v>15719081.513670463</v>
      </c>
      <c r="AA17" s="52"/>
      <c r="AB17" s="53"/>
    </row>
    <row r="18" spans="1:28">
      <c r="A18" s="15">
        <v>12</v>
      </c>
      <c r="B18" s="28">
        <v>3.5000000000000001E-3</v>
      </c>
      <c r="C18" s="29">
        <f t="shared" si="4"/>
        <v>2835986.4216540144</v>
      </c>
      <c r="D18" s="30">
        <f t="shared" si="8"/>
        <v>4140540.1756148613</v>
      </c>
      <c r="E18" s="19">
        <f t="shared" si="0"/>
        <v>2745234.8561610864</v>
      </c>
      <c r="F18" s="20">
        <f t="shared" si="5"/>
        <v>1116244.2555630202</v>
      </c>
      <c r="G18" s="18">
        <f t="shared" si="1"/>
        <v>3861479.1117241066</v>
      </c>
      <c r="H18" s="31">
        <v>4</v>
      </c>
      <c r="I18" s="31">
        <v>0</v>
      </c>
      <c r="J18" s="32">
        <f t="shared" si="2"/>
        <v>15445916.446896426</v>
      </c>
      <c r="K18" s="32">
        <f t="shared" si="6"/>
        <v>10980939.424644345</v>
      </c>
      <c r="L18" s="32">
        <v>0</v>
      </c>
      <c r="M18" s="32">
        <v>0</v>
      </c>
      <c r="N18" s="99">
        <f t="shared" si="10"/>
        <v>7722958.2234482132</v>
      </c>
      <c r="O18" s="167">
        <f t="shared" si="3"/>
        <v>7722958.2234482132</v>
      </c>
      <c r="P18" s="175"/>
      <c r="Q18" s="40"/>
      <c r="R18" s="25"/>
      <c r="S18" s="25"/>
      <c r="T18" s="25"/>
      <c r="W18" s="4" t="s">
        <v>36</v>
      </c>
      <c r="Y18" s="5">
        <f>Y17*30%</f>
        <v>4715724.4541011387</v>
      </c>
      <c r="Z18" s="5">
        <f>Y18/12</f>
        <v>392977.03784176154</v>
      </c>
      <c r="AA18" s="3">
        <f>Y18*100/Y17</f>
        <v>30</v>
      </c>
    </row>
    <row r="19" spans="1:28">
      <c r="A19" s="15">
        <v>13</v>
      </c>
      <c r="B19" s="28">
        <v>3.5000000000000001E-3</v>
      </c>
      <c r="C19" s="29">
        <f t="shared" si="4"/>
        <v>2826060.4691782254</v>
      </c>
      <c r="D19" s="30">
        <f t="shared" si="8"/>
        <v>4126048.2850002097</v>
      </c>
      <c r="E19" s="19">
        <f t="shared" si="0"/>
        <v>2735626.5341645223</v>
      </c>
      <c r="F19" s="20">
        <f t="shared" si="5"/>
        <v>1112337.4006685498</v>
      </c>
      <c r="G19" s="18">
        <f t="shared" si="1"/>
        <v>3847963.9348330721</v>
      </c>
      <c r="H19" s="31">
        <v>4</v>
      </c>
      <c r="I19" s="31">
        <v>0</v>
      </c>
      <c r="J19" s="32">
        <f t="shared" si="2"/>
        <v>15391855.739332289</v>
      </c>
      <c r="K19" s="32">
        <f t="shared" si="6"/>
        <v>10942506.136658089</v>
      </c>
      <c r="L19" s="32">
        <v>0</v>
      </c>
      <c r="M19" s="32">
        <v>0</v>
      </c>
      <c r="N19" s="99">
        <f t="shared" si="10"/>
        <v>7695927.8696661443</v>
      </c>
      <c r="O19" s="167">
        <f t="shared" si="3"/>
        <v>7695927.8696661443</v>
      </c>
      <c r="P19" s="175"/>
      <c r="Q19" s="179" t="s">
        <v>43</v>
      </c>
      <c r="R19" s="180"/>
      <c r="S19" s="54">
        <f>[1]asm!C24</f>
        <v>242</v>
      </c>
      <c r="T19" s="13" t="s">
        <v>33</v>
      </c>
      <c r="U19" s="55"/>
      <c r="W19" s="4" t="s">
        <v>37</v>
      </c>
      <c r="Y19" s="5">
        <f>Y17*40%</f>
        <v>6287632.6054681856</v>
      </c>
      <c r="Z19" s="5">
        <f>Y19/10</f>
        <v>628763.26054681861</v>
      </c>
      <c r="AA19" s="3">
        <f>Y19*100/Y17</f>
        <v>40.000000000000007</v>
      </c>
    </row>
    <row r="20" spans="1:28">
      <c r="A20" s="15">
        <v>14</v>
      </c>
      <c r="B20" s="28">
        <v>3.5000000000000001E-3</v>
      </c>
      <c r="C20" s="29">
        <f t="shared" si="4"/>
        <v>2816169.2575361016</v>
      </c>
      <c r="D20" s="30">
        <f t="shared" si="8"/>
        <v>4111607.1160027091</v>
      </c>
      <c r="E20" s="19">
        <f t="shared" si="0"/>
        <v>2726051.8412949466</v>
      </c>
      <c r="F20" s="20">
        <f t="shared" si="5"/>
        <v>1108444.2197662098</v>
      </c>
      <c r="G20" s="18">
        <f t="shared" si="1"/>
        <v>3834496.0610611564</v>
      </c>
      <c r="H20" s="31">
        <v>4</v>
      </c>
      <c r="I20" s="31">
        <v>0</v>
      </c>
      <c r="J20" s="32">
        <f t="shared" si="2"/>
        <v>15337984.244244626</v>
      </c>
      <c r="K20" s="32">
        <f t="shared" si="6"/>
        <v>10904207.365179786</v>
      </c>
      <c r="L20" s="32">
        <v>0</v>
      </c>
      <c r="M20" s="32">
        <v>0</v>
      </c>
      <c r="N20" s="99">
        <f t="shared" si="10"/>
        <v>7668992.1221223129</v>
      </c>
      <c r="O20" s="167">
        <f t="shared" si="3"/>
        <v>7668992.1221223129</v>
      </c>
      <c r="P20" s="175"/>
      <c r="Q20" s="179" t="s">
        <v>44</v>
      </c>
      <c r="R20" s="180"/>
      <c r="S20" s="56">
        <f>365-S19</f>
        <v>123</v>
      </c>
      <c r="T20" s="13" t="s">
        <v>33</v>
      </c>
      <c r="U20" s="55"/>
      <c r="W20" s="4" t="s">
        <v>39</v>
      </c>
      <c r="Y20" s="5">
        <f>Y17*20%</f>
        <v>3143816.3027340928</v>
      </c>
      <c r="Z20" s="5">
        <f>Y20/12</f>
        <v>261984.69189450773</v>
      </c>
      <c r="AA20" s="3">
        <f>Y20*100/Y17</f>
        <v>20.000000000000004</v>
      </c>
    </row>
    <row r="21" spans="1:28">
      <c r="A21" s="15">
        <v>15</v>
      </c>
      <c r="B21" s="28">
        <v>3.5000000000000001E-3</v>
      </c>
      <c r="C21" s="29">
        <f t="shared" si="4"/>
        <v>2806312.6651347256</v>
      </c>
      <c r="D21" s="30">
        <f t="shared" si="8"/>
        <v>4097216.4910967001</v>
      </c>
      <c r="E21" s="19">
        <f t="shared" si="0"/>
        <v>2716510.6598504148</v>
      </c>
      <c r="F21" s="20">
        <f t="shared" si="5"/>
        <v>1104564.6649970284</v>
      </c>
      <c r="G21" s="18">
        <f t="shared" si="1"/>
        <v>3821075.324847443</v>
      </c>
      <c r="H21" s="31">
        <v>4</v>
      </c>
      <c r="I21" s="31">
        <v>0</v>
      </c>
      <c r="J21" s="32">
        <f t="shared" si="2"/>
        <v>15284301.299389772</v>
      </c>
      <c r="K21" s="32">
        <f t="shared" si="6"/>
        <v>10866042.639401659</v>
      </c>
      <c r="L21" s="32">
        <v>0</v>
      </c>
      <c r="M21" s="32">
        <v>0</v>
      </c>
      <c r="N21" s="99">
        <f t="shared" si="10"/>
        <v>7642150.6496948861</v>
      </c>
      <c r="O21" s="167">
        <f t="shared" si="3"/>
        <v>7642150.6496948861</v>
      </c>
      <c r="P21" s="175"/>
      <c r="Q21" s="179" t="s">
        <v>45</v>
      </c>
      <c r="R21" s="180"/>
      <c r="S21" s="57">
        <v>0.8</v>
      </c>
      <c r="T21" s="25"/>
      <c r="W21" s="4" t="s">
        <v>40</v>
      </c>
      <c r="Y21" s="5">
        <f>Y17*10%</f>
        <v>1571908.1513670464</v>
      </c>
      <c r="Z21" s="5">
        <f>Y21/12</f>
        <v>130992.34594725387</v>
      </c>
      <c r="AA21" s="3">
        <f>Y21*100/Y17</f>
        <v>10.000000000000002</v>
      </c>
    </row>
    <row r="22" spans="1:28">
      <c r="A22" s="15">
        <v>16</v>
      </c>
      <c r="B22" s="28">
        <v>3.5000000000000001E-3</v>
      </c>
      <c r="C22" s="29">
        <f t="shared" si="4"/>
        <v>2796490.5708067543</v>
      </c>
      <c r="D22" s="30">
        <f t="shared" si="8"/>
        <v>4082876.2333778618</v>
      </c>
      <c r="E22" s="19">
        <f t="shared" si="0"/>
        <v>2707002.8725409382</v>
      </c>
      <c r="F22" s="20">
        <f t="shared" si="5"/>
        <v>1100698.6886695386</v>
      </c>
      <c r="G22" s="18">
        <f t="shared" si="1"/>
        <v>3807701.5612104768</v>
      </c>
      <c r="H22" s="31">
        <v>4</v>
      </c>
      <c r="I22" s="31">
        <v>0</v>
      </c>
      <c r="J22" s="32">
        <f t="shared" si="2"/>
        <v>15230806.244841907</v>
      </c>
      <c r="K22" s="32">
        <f t="shared" si="6"/>
        <v>10828011.490163753</v>
      </c>
      <c r="L22" s="32">
        <v>0</v>
      </c>
      <c r="M22" s="32">
        <v>0</v>
      </c>
      <c r="N22" s="99">
        <f t="shared" si="10"/>
        <v>7615403.1224209536</v>
      </c>
      <c r="O22" s="167">
        <f t="shared" si="3"/>
        <v>7615403.1224209536</v>
      </c>
      <c r="P22" s="175"/>
      <c r="Q22" s="40"/>
      <c r="R22" s="25"/>
      <c r="S22" s="25"/>
      <c r="T22" s="25"/>
      <c r="W22" s="58"/>
      <c r="X22" s="97" t="s">
        <v>34</v>
      </c>
      <c r="Y22" s="97" t="s">
        <v>66</v>
      </c>
      <c r="Z22" s="97" t="s">
        <v>67</v>
      </c>
      <c r="AA22" s="59"/>
      <c r="AB22" s="59"/>
    </row>
    <row r="23" spans="1:28">
      <c r="A23" s="15">
        <v>17</v>
      </c>
      <c r="B23" s="28">
        <v>3.5000000000000001E-3</v>
      </c>
      <c r="C23" s="29">
        <f t="shared" si="4"/>
        <v>2786702.8538089306</v>
      </c>
      <c r="D23" s="30">
        <f t="shared" si="8"/>
        <v>4068586.1665610396</v>
      </c>
      <c r="E23" s="19">
        <f t="shared" si="0"/>
        <v>2697528.3624870456</v>
      </c>
      <c r="F23" s="20">
        <f t="shared" si="5"/>
        <v>1096846.2432591955</v>
      </c>
      <c r="G23" s="18">
        <f t="shared" si="1"/>
        <v>3794374.6057462413</v>
      </c>
      <c r="H23" s="31">
        <v>4</v>
      </c>
      <c r="I23" s="31">
        <v>0</v>
      </c>
      <c r="J23" s="32">
        <f t="shared" si="2"/>
        <v>15177498.422984965</v>
      </c>
      <c r="K23" s="32">
        <f t="shared" si="6"/>
        <v>10790113.449948182</v>
      </c>
      <c r="L23" s="32">
        <v>0</v>
      </c>
      <c r="M23" s="32">
        <v>0</v>
      </c>
      <c r="N23" s="99">
        <f t="shared" si="10"/>
        <v>7588749.2114924826</v>
      </c>
      <c r="O23" s="167">
        <f t="shared" si="3"/>
        <v>7588749.2114924826</v>
      </c>
      <c r="P23" s="175"/>
      <c r="Q23" s="179" t="s">
        <v>46</v>
      </c>
      <c r="R23" s="180"/>
      <c r="S23" s="60">
        <v>6.6</v>
      </c>
      <c r="T23" s="61"/>
      <c r="U23" s="14"/>
      <c r="W23" s="4" t="s">
        <v>64</v>
      </c>
      <c r="X23" s="5">
        <f>SUM(J13:J27)</f>
        <v>230096161.57242355</v>
      </c>
      <c r="Y23" s="5">
        <f>X23-X8</f>
        <v>153096161.57242355</v>
      </c>
      <c r="Z23" s="5">
        <f>Y23*100/X8</f>
        <v>198.82618386029034</v>
      </c>
      <c r="AA23" s="5"/>
      <c r="AB23" s="53"/>
    </row>
    <row r="24" spans="1:28">
      <c r="A24" s="15">
        <v>18</v>
      </c>
      <c r="B24" s="28">
        <v>3.5000000000000001E-3</v>
      </c>
      <c r="C24" s="29">
        <f t="shared" si="4"/>
        <v>2776949.3938205997</v>
      </c>
      <c r="D24" s="30">
        <f t="shared" si="8"/>
        <v>4054346.1149780764</v>
      </c>
      <c r="E24" s="19">
        <f t="shared" si="0"/>
        <v>2688087.0132183409</v>
      </c>
      <c r="F24" s="20">
        <f t="shared" si="5"/>
        <v>1093007.2814077884</v>
      </c>
      <c r="G24" s="18">
        <f t="shared" si="1"/>
        <v>3781094.2946261293</v>
      </c>
      <c r="H24" s="31">
        <v>4</v>
      </c>
      <c r="I24" s="31">
        <v>0</v>
      </c>
      <c r="J24" s="32">
        <f t="shared" si="2"/>
        <v>15124377.178504517</v>
      </c>
      <c r="K24" s="32">
        <f t="shared" si="6"/>
        <v>10752348.052873364</v>
      </c>
      <c r="L24" s="32">
        <v>0</v>
      </c>
      <c r="M24" s="32">
        <v>0</v>
      </c>
      <c r="N24" s="99">
        <f t="shared" si="10"/>
        <v>7562188.5892522587</v>
      </c>
      <c r="O24" s="167">
        <f>J24-N24</f>
        <v>7562188.5892522587</v>
      </c>
      <c r="P24" s="175"/>
      <c r="Q24" s="179" t="s">
        <v>70</v>
      </c>
      <c r="R24" s="180"/>
      <c r="S24" s="60">
        <v>4</v>
      </c>
      <c r="T24" s="61"/>
      <c r="U24" s="14"/>
      <c r="W24" s="4" t="s">
        <v>65</v>
      </c>
      <c r="X24" s="5">
        <f>J32</f>
        <v>384919393.23512572</v>
      </c>
      <c r="Y24" s="5">
        <f>X24/2</f>
        <v>192459696.61756286</v>
      </c>
      <c r="Z24" s="5">
        <f>Y24*100/X8</f>
        <v>249.94765794488683</v>
      </c>
      <c r="AA24" s="5"/>
    </row>
    <row r="25" spans="1:28">
      <c r="A25" s="15">
        <v>19</v>
      </c>
      <c r="B25" s="28">
        <v>3.5000000000000001E-3</v>
      </c>
      <c r="C25" s="29">
        <f t="shared" si="4"/>
        <v>2767230.0709422277</v>
      </c>
      <c r="D25" s="30">
        <f t="shared" si="8"/>
        <v>4040155.9035756532</v>
      </c>
      <c r="E25" s="19">
        <f t="shared" si="0"/>
        <v>2678678.7086720769</v>
      </c>
      <c r="F25" s="20">
        <f t="shared" si="5"/>
        <v>1089181.7559228609</v>
      </c>
      <c r="G25" s="18">
        <f t="shared" si="1"/>
        <v>3767860.4645949379</v>
      </c>
      <c r="H25" s="31">
        <v>4</v>
      </c>
      <c r="I25" s="31">
        <v>0</v>
      </c>
      <c r="J25" s="32">
        <f t="shared" si="2"/>
        <v>15071441.858379751</v>
      </c>
      <c r="K25" s="32">
        <f t="shared" si="6"/>
        <v>10714714.834688308</v>
      </c>
      <c r="L25" s="32">
        <v>0</v>
      </c>
      <c r="M25" s="32">
        <v>0</v>
      </c>
      <c r="N25" s="99">
        <f t="shared" si="10"/>
        <v>7535720.9291898757</v>
      </c>
      <c r="O25" s="167">
        <f t="shared" ref="O25:O30" si="11">J25-N25</f>
        <v>7535720.9291898757</v>
      </c>
      <c r="P25" s="175"/>
      <c r="Q25" s="63" t="s">
        <v>48</v>
      </c>
      <c r="R25" s="64"/>
      <c r="S25" s="65">
        <f>X8</f>
        <v>77000000</v>
      </c>
      <c r="T25" s="61" t="s">
        <v>49</v>
      </c>
      <c r="U25" s="14"/>
      <c r="X25" s="5">
        <f>X24-X23</f>
        <v>154823231.66270217</v>
      </c>
      <c r="Y25" s="5">
        <f>Y24-Y23</f>
        <v>39363535.045139313</v>
      </c>
      <c r="AA25" s="5"/>
    </row>
    <row r="26" spans="1:28">
      <c r="A26" s="15">
        <v>20</v>
      </c>
      <c r="B26" s="28">
        <v>3.5000000000000001E-3</v>
      </c>
      <c r="C26" s="29">
        <f t="shared" si="4"/>
        <v>2757544.76569393</v>
      </c>
      <c r="D26" s="30">
        <f t="shared" si="8"/>
        <v>4026015.3579131388</v>
      </c>
      <c r="E26" s="19">
        <f t="shared" si="0"/>
        <v>2669303.333191725</v>
      </c>
      <c r="F26" s="20">
        <f t="shared" si="5"/>
        <v>1085369.6197771314</v>
      </c>
      <c r="G26" s="18">
        <f t="shared" si="1"/>
        <v>3754672.9529688563</v>
      </c>
      <c r="H26" s="31">
        <v>4</v>
      </c>
      <c r="I26" s="31">
        <v>0</v>
      </c>
      <c r="J26" s="32">
        <f t="shared" si="2"/>
        <v>15018691.811875425</v>
      </c>
      <c r="K26" s="32">
        <f t="shared" si="6"/>
        <v>10677213.3327669</v>
      </c>
      <c r="L26" s="32">
        <v>0</v>
      </c>
      <c r="M26" s="32">
        <v>0</v>
      </c>
      <c r="N26" s="99">
        <f t="shared" si="10"/>
        <v>7509345.9059377126</v>
      </c>
      <c r="O26" s="167">
        <f t="shared" si="11"/>
        <v>7509345.9059377126</v>
      </c>
      <c r="P26" s="175"/>
      <c r="Q26" s="66" t="s">
        <v>37</v>
      </c>
      <c r="R26" s="67" t="s">
        <v>50</v>
      </c>
      <c r="S26" s="68"/>
      <c r="U26" s="14"/>
      <c r="AA26" s="5"/>
    </row>
    <row r="27" spans="1:28">
      <c r="A27" s="15">
        <v>21</v>
      </c>
      <c r="B27" s="28">
        <v>3.5000000000000001E-3</v>
      </c>
      <c r="C27" s="29">
        <f t="shared" si="4"/>
        <v>2747893.3590140012</v>
      </c>
      <c r="D27" s="30">
        <f t="shared" si="8"/>
        <v>4011924.3041604431</v>
      </c>
      <c r="E27" s="19">
        <f t="shared" si="0"/>
        <v>2659960.7715255544</v>
      </c>
      <c r="F27" s="20">
        <f t="shared" si="5"/>
        <v>1081570.8261079113</v>
      </c>
      <c r="G27" s="18">
        <f t="shared" si="1"/>
        <v>3741531.5976334657</v>
      </c>
      <c r="H27" s="31">
        <v>4</v>
      </c>
      <c r="I27" s="31">
        <v>0</v>
      </c>
      <c r="J27" s="32">
        <f t="shared" si="2"/>
        <v>14966126.390533863</v>
      </c>
      <c r="K27" s="32">
        <f t="shared" si="6"/>
        <v>10639843.086102217</v>
      </c>
      <c r="L27" s="32">
        <v>0</v>
      </c>
      <c r="M27" s="32">
        <v>0</v>
      </c>
      <c r="N27" s="99">
        <f t="shared" si="10"/>
        <v>7483063.1952669313</v>
      </c>
      <c r="O27" s="167">
        <f t="shared" si="11"/>
        <v>7483063.1952669313</v>
      </c>
      <c r="P27" s="175"/>
      <c r="Q27" s="66"/>
      <c r="R27" s="67" t="s">
        <v>51</v>
      </c>
      <c r="S27" s="68"/>
      <c r="U27" s="14"/>
    </row>
    <row r="28" spans="1:28">
      <c r="A28" s="15">
        <v>22</v>
      </c>
      <c r="B28" s="28">
        <v>3.5000000000000001E-3</v>
      </c>
      <c r="C28" s="29">
        <f t="shared" si="4"/>
        <v>2738275.7322574523</v>
      </c>
      <c r="D28" s="30">
        <f t="shared" si="8"/>
        <v>3997882.5690958817</v>
      </c>
      <c r="E28" s="19">
        <f t="shared" si="0"/>
        <v>2650650.9088252145</v>
      </c>
      <c r="F28" s="20">
        <f t="shared" si="5"/>
        <v>1077785.3282165336</v>
      </c>
      <c r="G28" s="18">
        <f t="shared" si="1"/>
        <v>3728436.2370417481</v>
      </c>
      <c r="H28" s="31">
        <v>4</v>
      </c>
      <c r="I28" s="31">
        <v>0</v>
      </c>
      <c r="J28" s="32">
        <f t="shared" si="2"/>
        <v>14913744.948166993</v>
      </c>
      <c r="K28" s="32">
        <f t="shared" si="6"/>
        <v>10602603.635300858</v>
      </c>
      <c r="L28" s="32">
        <v>0</v>
      </c>
      <c r="M28" s="32">
        <v>0</v>
      </c>
      <c r="N28" s="99">
        <f t="shared" si="10"/>
        <v>7456872.4740834963</v>
      </c>
      <c r="O28" s="167">
        <f t="shared" si="11"/>
        <v>7456872.4740834963</v>
      </c>
      <c r="P28" s="175"/>
      <c r="Q28" s="66"/>
      <c r="R28" s="67" t="s">
        <v>52</v>
      </c>
      <c r="S28" s="68"/>
      <c r="U28" s="14"/>
    </row>
    <row r="29" spans="1:28">
      <c r="A29" s="15">
        <v>23</v>
      </c>
      <c r="B29" s="28">
        <v>3.5000000000000001E-3</v>
      </c>
      <c r="C29" s="29">
        <f t="shared" si="4"/>
        <v>2728691.7671945514</v>
      </c>
      <c r="D29" s="30">
        <f t="shared" si="8"/>
        <v>3983889.9801040464</v>
      </c>
      <c r="E29" s="19">
        <f t="shared" si="0"/>
        <v>2641373.6306443266</v>
      </c>
      <c r="F29" s="20">
        <f t="shared" si="5"/>
        <v>1074013.0795677761</v>
      </c>
      <c r="G29" s="18">
        <f t="shared" si="1"/>
        <v>3715386.7102121026</v>
      </c>
      <c r="H29" s="31">
        <v>4</v>
      </c>
      <c r="I29" s="31">
        <v>0</v>
      </c>
      <c r="J29" s="32">
        <f t="shared" si="2"/>
        <v>14861546.840848411</v>
      </c>
      <c r="K29" s="32">
        <f t="shared" si="6"/>
        <v>10565494.522577306</v>
      </c>
      <c r="L29" s="32">
        <v>0</v>
      </c>
      <c r="M29" s="32">
        <v>0</v>
      </c>
      <c r="N29" s="99">
        <f t="shared" si="10"/>
        <v>7430773.4204242053</v>
      </c>
      <c r="O29" s="167">
        <f t="shared" si="11"/>
        <v>7430773.4204242053</v>
      </c>
      <c r="P29" s="175"/>
      <c r="Q29" s="66"/>
      <c r="R29" s="67" t="s">
        <v>53</v>
      </c>
      <c r="S29" s="68"/>
      <c r="U29" s="14"/>
    </row>
    <row r="30" spans="1:28">
      <c r="A30" s="15">
        <v>24</v>
      </c>
      <c r="B30" s="28">
        <v>3.5000000000000001E-3</v>
      </c>
      <c r="C30" s="29">
        <f t="shared" si="4"/>
        <v>2719141.3460093704</v>
      </c>
      <c r="D30" s="30">
        <f t="shared" si="8"/>
        <v>3969946.3651736826</v>
      </c>
      <c r="E30" s="19">
        <f t="shared" si="0"/>
        <v>2632128.8229370718</v>
      </c>
      <c r="F30" s="20">
        <f t="shared" si="5"/>
        <v>1070254.0337892887</v>
      </c>
      <c r="G30" s="18">
        <f t="shared" si="1"/>
        <v>3702382.8567263605</v>
      </c>
      <c r="H30" s="31">
        <v>4</v>
      </c>
      <c r="I30" s="31">
        <v>0</v>
      </c>
      <c r="J30" s="32">
        <f t="shared" si="2"/>
        <v>14809531.426905442</v>
      </c>
      <c r="K30" s="32">
        <f t="shared" si="6"/>
        <v>10528515.291748287</v>
      </c>
      <c r="L30" s="32">
        <v>0</v>
      </c>
      <c r="M30" s="32">
        <v>0</v>
      </c>
      <c r="N30" s="99">
        <f t="shared" si="10"/>
        <v>7404765.713452721</v>
      </c>
      <c r="O30" s="167">
        <f t="shared" si="11"/>
        <v>7404765.713452721</v>
      </c>
      <c r="P30" s="175"/>
      <c r="Q30" s="66"/>
      <c r="R30" s="67" t="s">
        <v>54</v>
      </c>
      <c r="S30" s="68"/>
      <c r="U30" s="14"/>
    </row>
    <row r="31" spans="1:28">
      <c r="A31" s="15">
        <v>25</v>
      </c>
      <c r="B31" s="28">
        <v>3.5000000000000001E-3</v>
      </c>
      <c r="C31" s="29">
        <f t="shared" si="4"/>
        <v>2709624.3512983378</v>
      </c>
      <c r="D31" s="30">
        <f t="shared" si="8"/>
        <v>3956051.5528955748</v>
      </c>
      <c r="E31" s="19">
        <f t="shared" si="0"/>
        <v>2622916.372056792</v>
      </c>
      <c r="F31" s="20">
        <f t="shared" si="5"/>
        <v>1066508.1446710264</v>
      </c>
      <c r="G31" s="18">
        <f t="shared" si="1"/>
        <v>3689424.5167278182</v>
      </c>
      <c r="H31" s="31">
        <v>4</v>
      </c>
      <c r="I31" s="31">
        <v>0</v>
      </c>
      <c r="J31" s="32">
        <f t="shared" si="2"/>
        <v>14757698.066911273</v>
      </c>
      <c r="K31" s="32">
        <f t="shared" si="6"/>
        <v>10491665.488227168</v>
      </c>
      <c r="L31" s="32">
        <v>0</v>
      </c>
      <c r="M31" s="32">
        <v>0</v>
      </c>
      <c r="N31" s="99">
        <f t="shared" si="10"/>
        <v>7378849.0334556364</v>
      </c>
      <c r="O31" s="167">
        <f>J31-N31</f>
        <v>7378849.0334556364</v>
      </c>
      <c r="P31" s="175"/>
      <c r="Q31" s="69"/>
      <c r="R31" s="70"/>
      <c r="U31" s="14"/>
    </row>
    <row r="32" spans="1:28">
      <c r="A32" s="15" t="s">
        <v>55</v>
      </c>
      <c r="B32" s="71">
        <f>SUM(B7:B31)</f>
        <v>0.10150000000000006</v>
      </c>
      <c r="C32" s="72">
        <f>AVERAGE(C6:C31)</f>
        <v>2833619.0541891176</v>
      </c>
      <c r="D32" s="73">
        <f>SUM(D7:D26)</f>
        <v>83264484.525589257</v>
      </c>
      <c r="E32" s="73"/>
      <c r="F32" s="73"/>
      <c r="G32" s="73"/>
      <c r="H32" s="74"/>
      <c r="I32" s="74"/>
      <c r="J32" s="75">
        <f t="shared" ref="J32:M32" si="12">SUM(J7:J31)</f>
        <v>384919393.23512572</v>
      </c>
      <c r="K32" s="75">
        <f t="shared" si="12"/>
        <v>273650097.42332679</v>
      </c>
      <c r="L32" s="75">
        <f t="shared" si="12"/>
        <v>0</v>
      </c>
      <c r="M32" s="75">
        <f t="shared" si="12"/>
        <v>0</v>
      </c>
      <c r="N32" s="75">
        <f>SUM(N7:N31)</f>
        <v>170219738.23885477</v>
      </c>
      <c r="O32" s="168">
        <f>SUM(O7:O31)</f>
        <v>214699654.99627098</v>
      </c>
      <c r="P32" s="176"/>
      <c r="Q32" s="77"/>
    </row>
    <row r="33" spans="1:21">
      <c r="A33" s="78"/>
      <c r="B33" s="79"/>
      <c r="C33" s="80"/>
      <c r="D33" s="73"/>
      <c r="E33" s="81"/>
      <c r="F33" s="81"/>
      <c r="G33" s="81"/>
      <c r="H33" s="82"/>
      <c r="I33" s="82"/>
      <c r="J33" s="77"/>
      <c r="K33" s="77"/>
      <c r="L33" s="77"/>
      <c r="M33" s="77"/>
      <c r="N33" s="83" t="s">
        <v>56</v>
      </c>
      <c r="O33" s="83">
        <v>5.75</v>
      </c>
      <c r="P33" s="176"/>
      <c r="Q33" s="77" t="s">
        <v>57</v>
      </c>
      <c r="R33" s="3">
        <f>9/12</f>
        <v>0.75</v>
      </c>
    </row>
    <row r="34" spans="1:21">
      <c r="B34" s="4"/>
      <c r="C34" s="84"/>
      <c r="D34" s="85">
        <f>D32*1.07</f>
        <v>89092998.442380518</v>
      </c>
      <c r="E34" s="86"/>
      <c r="F34" s="86"/>
      <c r="G34" s="86"/>
      <c r="H34" s="86"/>
      <c r="J34" s="87" t="s">
        <v>58</v>
      </c>
      <c r="K34" s="88">
        <f>NPV(0.1%,K7:K26)</f>
        <v>218545711.14770287</v>
      </c>
      <c r="L34" s="88"/>
      <c r="M34" s="88"/>
      <c r="N34" s="89" t="s">
        <v>58</v>
      </c>
      <c r="O34" s="89">
        <f>NPV(10%,O7:O26)</f>
        <v>82293205.236236215</v>
      </c>
      <c r="P34" s="176"/>
      <c r="Q34" s="90" t="s">
        <v>49</v>
      </c>
      <c r="S34" s="3">
        <f>(IF([1]การใช้ไฟย้อนหลัง!F23&gt;=1,1,[1]การใช้ไฟย้อนหลัง!F23))</f>
        <v>1</v>
      </c>
    </row>
    <row r="35" spans="1:21">
      <c r="B35" s="4"/>
      <c r="C35" s="91" t="s">
        <v>59</v>
      </c>
      <c r="D35" s="92">
        <f>AVERAGE(D6:D26)</f>
        <v>4173546.882170917</v>
      </c>
      <c r="E35" s="92">
        <f>D35*100/[1]การใช้ไฟย้อนหลัง!R21</f>
        <v>198.31388448397232</v>
      </c>
      <c r="F35" s="92"/>
      <c r="G35" s="92"/>
      <c r="H35" s="92"/>
      <c r="I35" s="87"/>
      <c r="N35" s="89" t="s">
        <v>60</v>
      </c>
      <c r="O35" s="93">
        <f>IRR(O6:O31,0.1)</f>
        <v>0.13946205514883592</v>
      </c>
      <c r="P35" s="177"/>
      <c r="R35" s="4"/>
    </row>
    <row r="36" spans="1:21">
      <c r="B36" s="4"/>
      <c r="C36" s="91"/>
      <c r="D36" s="92"/>
      <c r="E36" s="92"/>
      <c r="F36" s="92"/>
      <c r="G36" s="92"/>
      <c r="H36" s="92"/>
      <c r="I36" s="87"/>
      <c r="N36" s="89"/>
      <c r="O36" s="93"/>
      <c r="P36" s="177"/>
      <c r="R36" s="4"/>
    </row>
    <row r="37" spans="1:21">
      <c r="B37" s="4"/>
      <c r="C37" s="4"/>
      <c r="D37" s="52"/>
      <c r="E37" s="52"/>
      <c r="F37" s="52"/>
      <c r="G37" s="52"/>
      <c r="H37" s="52"/>
      <c r="I37" s="87"/>
      <c r="R37" s="4"/>
      <c r="U37" s="94"/>
    </row>
    <row r="38" spans="1:21">
      <c r="C38" s="4"/>
      <c r="D38" s="95"/>
      <c r="E38" s="95"/>
      <c r="F38" s="95"/>
      <c r="G38" s="95"/>
      <c r="H38" s="95"/>
      <c r="I38" s="87"/>
      <c r="R38" s="4"/>
    </row>
    <row r="39" spans="1:21">
      <c r="B39" s="94"/>
    </row>
    <row r="40" spans="1:21">
      <c r="B40" s="96"/>
      <c r="C40" s="50"/>
      <c r="D40" s="95"/>
      <c r="E40" s="95"/>
      <c r="F40" s="95"/>
      <c r="G40" s="95"/>
      <c r="H40" s="95"/>
      <c r="I40" s="87"/>
    </row>
    <row r="41" spans="1:21">
      <c r="C41" s="50"/>
      <c r="D41" s="95"/>
      <c r="E41" s="95"/>
      <c r="F41" s="95"/>
      <c r="G41" s="95"/>
      <c r="H41" s="95"/>
      <c r="I41" s="87"/>
    </row>
    <row r="45" spans="1:21">
      <c r="J45" s="3"/>
      <c r="K45" s="3"/>
    </row>
  </sheetData>
  <mergeCells count="20">
    <mergeCell ref="Q16:R16"/>
    <mergeCell ref="A2:O2"/>
    <mergeCell ref="A3:G3"/>
    <mergeCell ref="H3:J3"/>
    <mergeCell ref="L3:N4"/>
    <mergeCell ref="O3:O4"/>
    <mergeCell ref="A4:A5"/>
    <mergeCell ref="B4:B5"/>
    <mergeCell ref="C4:C5"/>
    <mergeCell ref="E4:G4"/>
    <mergeCell ref="Q5:R5"/>
    <mergeCell ref="Q7:R7"/>
    <mergeCell ref="Q11:R11"/>
    <mergeCell ref="Q12:R12"/>
    <mergeCell ref="Q14:R14"/>
    <mergeCell ref="Q19:R19"/>
    <mergeCell ref="Q20:R20"/>
    <mergeCell ref="Q21:R21"/>
    <mergeCell ref="Q23:R23"/>
    <mergeCell ref="Q24:R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F77C-CD99-4EDD-9D0B-DC553B2FEE07}">
  <dimension ref="A1:AB45"/>
  <sheetViews>
    <sheetView topLeftCell="H4" workbookViewId="0">
      <selection activeCell="X10" sqref="X10"/>
    </sheetView>
  </sheetViews>
  <sheetFormatPr defaultColWidth="10.28515625" defaultRowHeight="24"/>
  <cols>
    <col min="1" max="1" width="7.140625" style="3" customWidth="1"/>
    <col min="2" max="2" width="13" style="3" customWidth="1"/>
    <col min="3" max="3" width="16.42578125" style="3" customWidth="1"/>
    <col min="4" max="4" width="19.5703125" style="3" customWidth="1"/>
    <col min="5" max="5" width="16.42578125" style="3" customWidth="1"/>
    <col min="6" max="6" width="19.28515625" style="3" customWidth="1"/>
    <col min="7" max="7" width="15.7109375" style="3" customWidth="1"/>
    <col min="8" max="8" width="12.28515625" style="3" customWidth="1"/>
    <col min="9" max="9" width="16.140625" style="3" hidden="1" customWidth="1"/>
    <col min="10" max="10" width="21.42578125" style="4" customWidth="1"/>
    <col min="11" max="11" width="25.7109375" style="4" hidden="1" customWidth="1"/>
    <col min="12" max="12" width="19.140625" style="3" hidden="1" customWidth="1"/>
    <col min="13" max="13" width="19.7109375" style="3" hidden="1" customWidth="1"/>
    <col min="14" max="14" width="20.140625" style="3" customWidth="1"/>
    <col min="15" max="15" width="21" style="3" customWidth="1"/>
    <col min="16" max="16" width="21" style="170" hidden="1" customWidth="1"/>
    <col min="17" max="17" width="22.7109375" style="1" customWidth="1"/>
    <col min="18" max="18" width="20.28515625" style="3" customWidth="1"/>
    <col min="19" max="19" width="25.140625" style="3" bestFit="1" customWidth="1"/>
    <col min="20" max="20" width="14.28515625" style="3" customWidth="1"/>
    <col min="21" max="21" width="19.42578125" style="3" customWidth="1"/>
    <col min="22" max="22" width="12.42578125" style="3" customWidth="1"/>
    <col min="23" max="23" width="14.28515625" style="4" customWidth="1"/>
    <col min="24" max="24" width="17.5703125" style="5" bestFit="1" customWidth="1"/>
    <col min="25" max="25" width="19.140625" style="5" customWidth="1"/>
    <col min="26" max="26" width="16.7109375" style="5" bestFit="1" customWidth="1"/>
    <col min="27" max="27" width="14.42578125" style="3" customWidth="1"/>
    <col min="28" max="29" width="10.140625" style="3" customWidth="1"/>
    <col min="30" max="30" width="12.5703125" style="3" customWidth="1"/>
    <col min="31" max="36" width="10.140625" style="3" customWidth="1"/>
    <col min="37" max="16384" width="10.28515625" style="3"/>
  </cols>
  <sheetData>
    <row r="1" spans="1:28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1"/>
      <c r="M1" s="1"/>
      <c r="N1" s="1"/>
      <c r="O1" s="1"/>
    </row>
    <row r="2" spans="1:28" ht="30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71"/>
      <c r="Q2" s="7"/>
      <c r="T2" s="8"/>
    </row>
    <row r="3" spans="1:28" ht="30">
      <c r="A3" s="182" t="s">
        <v>2</v>
      </c>
      <c r="B3" s="183"/>
      <c r="C3" s="183"/>
      <c r="D3" s="183"/>
      <c r="E3" s="183"/>
      <c r="F3" s="183"/>
      <c r="G3" s="184"/>
      <c r="H3" s="182" t="s">
        <v>3</v>
      </c>
      <c r="I3" s="183"/>
      <c r="J3" s="184"/>
      <c r="K3" s="6"/>
      <c r="L3" s="185" t="s">
        <v>4</v>
      </c>
      <c r="M3" s="186"/>
      <c r="N3" s="187"/>
      <c r="O3" s="198" t="s">
        <v>5</v>
      </c>
      <c r="P3" s="172"/>
      <c r="Q3" s="7"/>
      <c r="T3" s="8"/>
    </row>
    <row r="4" spans="1:28" ht="72">
      <c r="A4" s="193" t="s">
        <v>6</v>
      </c>
      <c r="B4" s="195" t="s">
        <v>7</v>
      </c>
      <c r="C4" s="195" t="s">
        <v>8</v>
      </c>
      <c r="D4" s="10" t="s">
        <v>9</v>
      </c>
      <c r="E4" s="195" t="s">
        <v>10</v>
      </c>
      <c r="F4" s="195"/>
      <c r="G4" s="195"/>
      <c r="H4" s="9" t="s">
        <v>11</v>
      </c>
      <c r="I4" s="9" t="s">
        <v>12</v>
      </c>
      <c r="J4" s="9" t="s">
        <v>13</v>
      </c>
      <c r="K4" s="9"/>
      <c r="L4" s="188"/>
      <c r="M4" s="189"/>
      <c r="N4" s="190"/>
      <c r="O4" s="199"/>
      <c r="P4" s="172" t="s">
        <v>74</v>
      </c>
      <c r="Q4" s="7"/>
    </row>
    <row r="5" spans="1:28">
      <c r="A5" s="194"/>
      <c r="B5" s="195"/>
      <c r="C5" s="195"/>
      <c r="D5" s="9"/>
      <c r="E5" s="11" t="s">
        <v>14</v>
      </c>
      <c r="F5" s="11" t="s">
        <v>15</v>
      </c>
      <c r="G5" s="11" t="s">
        <v>16</v>
      </c>
      <c r="H5" s="9" t="s">
        <v>17</v>
      </c>
      <c r="I5" s="9" t="s">
        <v>17</v>
      </c>
      <c r="J5" s="9" t="s">
        <v>18</v>
      </c>
      <c r="K5" s="9"/>
      <c r="L5" s="9" t="s">
        <v>17</v>
      </c>
      <c r="M5" s="9" t="s">
        <v>17</v>
      </c>
      <c r="N5" s="9" t="s">
        <v>19</v>
      </c>
      <c r="O5" s="165" t="s">
        <v>19</v>
      </c>
      <c r="P5" s="172"/>
      <c r="Q5" s="179" t="s">
        <v>20</v>
      </c>
      <c r="R5" s="180"/>
      <c r="S5" s="12">
        <v>3000000</v>
      </c>
      <c r="T5" s="13" t="s">
        <v>21</v>
      </c>
      <c r="U5" s="14">
        <f>S5*4/1000</f>
        <v>12000</v>
      </c>
      <c r="W5" s="104" t="s">
        <v>22</v>
      </c>
      <c r="X5" s="105">
        <v>25</v>
      </c>
    </row>
    <row r="6" spans="1:28">
      <c r="A6" s="15">
        <v>0</v>
      </c>
      <c r="B6" s="16"/>
      <c r="C6" s="17">
        <f>S5</f>
        <v>3000000</v>
      </c>
      <c r="D6" s="18">
        <f>S14</f>
        <v>4380000</v>
      </c>
      <c r="E6" s="19">
        <f>D6*$S$19/365</f>
        <v>2904000</v>
      </c>
      <c r="F6" s="20">
        <f>D6*$S$20*$S$21/365</f>
        <v>1180800</v>
      </c>
      <c r="G6" s="18">
        <f>E6+F6</f>
        <v>4084800</v>
      </c>
      <c r="H6" s="31">
        <v>4.5</v>
      </c>
      <c r="I6" s="21"/>
      <c r="J6" s="32">
        <f>(G6*H6)</f>
        <v>18381600</v>
      </c>
      <c r="K6" s="22">
        <f>-125400000</f>
        <v>-125400000</v>
      </c>
      <c r="L6" s="16"/>
      <c r="M6" s="16"/>
      <c r="N6" s="32">
        <f>J6*0.3</f>
        <v>5514480</v>
      </c>
      <c r="O6" s="164">
        <f>-X8+J6-N6</f>
        <v>-64132880</v>
      </c>
      <c r="P6" s="173">
        <v>0</v>
      </c>
      <c r="Q6" s="24"/>
      <c r="R6" s="25"/>
      <c r="S6" s="26"/>
      <c r="T6" s="13"/>
      <c r="W6" s="104" t="s">
        <v>23</v>
      </c>
      <c r="X6" s="105">
        <f>S5*X5</f>
        <v>75000000</v>
      </c>
    </row>
    <row r="7" spans="1:28" ht="25.5">
      <c r="A7" s="27">
        <v>1</v>
      </c>
      <c r="B7" s="28">
        <v>1.7500000000000002E-2</v>
      </c>
      <c r="C7" s="29">
        <f>C6*(1-B7)</f>
        <v>2947500</v>
      </c>
      <c r="D7" s="30">
        <f>D6*(1-B7)</f>
        <v>4303350</v>
      </c>
      <c r="E7" s="19">
        <f t="shared" ref="E7:E31" si="0">D7*$S$19/365</f>
        <v>2853180</v>
      </c>
      <c r="F7" s="20">
        <f>D7*$S$20*$S$21/365</f>
        <v>1160136</v>
      </c>
      <c r="G7" s="18">
        <f t="shared" ref="G7:G31" si="1">E7+F7</f>
        <v>4013316</v>
      </c>
      <c r="H7" s="31">
        <v>4.5</v>
      </c>
      <c r="I7" s="31">
        <v>0</v>
      </c>
      <c r="J7" s="32">
        <f t="shared" ref="J7:J31" si="2">(G7*H7)</f>
        <v>18059922</v>
      </c>
      <c r="K7" s="32">
        <f>(E7*H7)</f>
        <v>12839310</v>
      </c>
      <c r="L7" s="32">
        <v>0</v>
      </c>
      <c r="M7" s="32">
        <v>0</v>
      </c>
      <c r="N7" s="32">
        <f>J7*0.3</f>
        <v>5417976.5999999996</v>
      </c>
      <c r="O7" s="166">
        <f t="shared" ref="O7:O23" si="3">J7-N7</f>
        <v>12641945.4</v>
      </c>
      <c r="P7" s="174">
        <f>O6+O7</f>
        <v>-51490934.600000001</v>
      </c>
      <c r="Q7" s="179" t="s">
        <v>24</v>
      </c>
      <c r="R7" s="180"/>
      <c r="S7" s="12">
        <f>U7</f>
        <v>4380000</v>
      </c>
      <c r="T7" s="13" t="s">
        <v>25</v>
      </c>
      <c r="U7" s="14">
        <f>U5*365</f>
        <v>4380000</v>
      </c>
      <c r="W7" s="106" t="s">
        <v>26</v>
      </c>
      <c r="X7" s="107">
        <v>2000000</v>
      </c>
    </row>
    <row r="8" spans="1:28" ht="30.75" customHeight="1">
      <c r="A8" s="27">
        <v>2</v>
      </c>
      <c r="B8" s="28">
        <v>3.5000000000000001E-3</v>
      </c>
      <c r="C8" s="29">
        <f t="shared" ref="C8:C31" si="4">C7*(1-B8)</f>
        <v>2937183.75</v>
      </c>
      <c r="D8" s="30">
        <f>D7*(1-B8)</f>
        <v>4288288.2750000004</v>
      </c>
      <c r="E8" s="19">
        <f t="shared" si="0"/>
        <v>2843193.87</v>
      </c>
      <c r="F8" s="20">
        <f t="shared" ref="F8:F31" si="5">D8*$S$20*$S$21/365</f>
        <v>1156075.5240000002</v>
      </c>
      <c r="G8" s="18">
        <f t="shared" si="1"/>
        <v>3999269.3940000003</v>
      </c>
      <c r="H8" s="31">
        <v>4.5</v>
      </c>
      <c r="I8" s="31">
        <v>0</v>
      </c>
      <c r="J8" s="32">
        <f t="shared" si="2"/>
        <v>17996712.273000002</v>
      </c>
      <c r="K8" s="32">
        <f t="shared" ref="K8:K31" si="6">(E8*H8)</f>
        <v>12794372.415000001</v>
      </c>
      <c r="L8" s="32">
        <v>0</v>
      </c>
      <c r="M8" s="32">
        <v>0</v>
      </c>
      <c r="N8" s="32">
        <f t="shared" ref="N8:N12" si="7">J8*0.3</f>
        <v>5399013.6819000002</v>
      </c>
      <c r="O8" s="166">
        <f t="shared" si="3"/>
        <v>12597698.591100002</v>
      </c>
      <c r="P8" s="174">
        <f>P7+O8</f>
        <v>-38893236.008900002</v>
      </c>
      <c r="Q8" s="34" t="s">
        <v>76</v>
      </c>
      <c r="R8" s="35">
        <f>SUM(J6:J12)</f>
        <v>125797399.17735389</v>
      </c>
      <c r="S8" s="25"/>
      <c r="T8" s="13"/>
      <c r="W8" s="106" t="s">
        <v>28</v>
      </c>
      <c r="X8" s="107">
        <f>X6+X7</f>
        <v>77000000</v>
      </c>
    </row>
    <row r="9" spans="1:28" ht="25.5">
      <c r="A9" s="27">
        <v>3</v>
      </c>
      <c r="B9" s="28">
        <v>3.5000000000000001E-3</v>
      </c>
      <c r="C9" s="29">
        <f t="shared" si="4"/>
        <v>2926903.6068750001</v>
      </c>
      <c r="D9" s="30">
        <f t="shared" ref="D9:D31" si="8">D8*(1-B9)</f>
        <v>4273279.2660375005</v>
      </c>
      <c r="E9" s="19">
        <f t="shared" si="0"/>
        <v>2833242.6914550005</v>
      </c>
      <c r="F9" s="20">
        <f t="shared" si="5"/>
        <v>1152029.2596660003</v>
      </c>
      <c r="G9" s="18">
        <f t="shared" si="1"/>
        <v>3985271.9511210006</v>
      </c>
      <c r="H9" s="31">
        <v>4.5</v>
      </c>
      <c r="I9" s="31">
        <v>0</v>
      </c>
      <c r="J9" s="32">
        <f t="shared" si="2"/>
        <v>17933723.780044504</v>
      </c>
      <c r="K9" s="32">
        <f t="shared" si="6"/>
        <v>12749592.111547502</v>
      </c>
      <c r="L9" s="32">
        <v>0</v>
      </c>
      <c r="M9" s="32">
        <v>0</v>
      </c>
      <c r="N9" s="32">
        <f t="shared" si="7"/>
        <v>5380117.1340133511</v>
      </c>
      <c r="O9" s="166">
        <f t="shared" si="3"/>
        <v>12553606.646031152</v>
      </c>
      <c r="P9" s="174">
        <f t="shared" ref="P9:P12" si="9">P8+O9</f>
        <v>-26339629.362868849</v>
      </c>
      <c r="Q9" s="169" t="s">
        <v>77</v>
      </c>
      <c r="R9" s="37">
        <f>SUM(N6:N12)</f>
        <v>37739219.753206171</v>
      </c>
      <c r="S9" s="38">
        <v>0</v>
      </c>
      <c r="T9" s="39">
        <f>R8-R9</f>
        <v>88058179.424147725</v>
      </c>
      <c r="W9" s="4" t="s">
        <v>27</v>
      </c>
      <c r="X9" s="5">
        <f>X8/O12</f>
        <v>6.1985527252860466</v>
      </c>
      <c r="Y9" s="5" t="s">
        <v>30</v>
      </c>
    </row>
    <row r="10" spans="1:28" ht="25.5">
      <c r="A10" s="27">
        <v>4</v>
      </c>
      <c r="B10" s="28">
        <v>3.5000000000000001E-3</v>
      </c>
      <c r="C10" s="29">
        <f t="shared" si="4"/>
        <v>2916659.4442509376</v>
      </c>
      <c r="D10" s="30">
        <f t="shared" si="8"/>
        <v>4258322.7886063699</v>
      </c>
      <c r="E10" s="19">
        <f t="shared" si="0"/>
        <v>2823326.342034908</v>
      </c>
      <c r="F10" s="20">
        <f t="shared" si="5"/>
        <v>1147997.1572571695</v>
      </c>
      <c r="G10" s="18">
        <f t="shared" si="1"/>
        <v>3971323.4992920775</v>
      </c>
      <c r="H10" s="31">
        <v>4.5</v>
      </c>
      <c r="I10" s="31">
        <v>0</v>
      </c>
      <c r="J10" s="32">
        <f t="shared" si="2"/>
        <v>17870955.746814348</v>
      </c>
      <c r="K10" s="32">
        <f t="shared" si="6"/>
        <v>12704968.539157085</v>
      </c>
      <c r="L10" s="32">
        <v>0</v>
      </c>
      <c r="M10" s="32">
        <v>0</v>
      </c>
      <c r="N10" s="32">
        <f t="shared" si="7"/>
        <v>5361286.7240443043</v>
      </c>
      <c r="O10" s="166">
        <f t="shared" si="3"/>
        <v>12509669.022770043</v>
      </c>
      <c r="P10" s="174">
        <f t="shared" si="9"/>
        <v>-13829960.340098806</v>
      </c>
      <c r="Q10" s="40"/>
      <c r="R10" s="25"/>
      <c r="S10" s="41">
        <f>S9/10/12</f>
        <v>0</v>
      </c>
      <c r="T10" s="39">
        <f>T9/12/10</f>
        <v>733818.16186789772</v>
      </c>
      <c r="V10" s="14">
        <f>ROUNDUP(X9,0)</f>
        <v>7</v>
      </c>
      <c r="W10" s="4" t="s">
        <v>31</v>
      </c>
      <c r="X10" s="5">
        <f>SUM(J7:J12)</f>
        <v>107415799.1773539</v>
      </c>
    </row>
    <row r="11" spans="1:28" ht="25.5">
      <c r="A11" s="27">
        <v>5</v>
      </c>
      <c r="B11" s="28">
        <v>3.5000000000000001E-3</v>
      </c>
      <c r="C11" s="29">
        <f t="shared" si="4"/>
        <v>2906451.1361960596</v>
      </c>
      <c r="D11" s="30">
        <f t="shared" si="8"/>
        <v>4243418.6588462479</v>
      </c>
      <c r="E11" s="19">
        <f t="shared" si="0"/>
        <v>2813444.6998377861</v>
      </c>
      <c r="F11" s="20">
        <f t="shared" si="5"/>
        <v>1143979.1672067693</v>
      </c>
      <c r="G11" s="18">
        <f t="shared" si="1"/>
        <v>3957423.8670445555</v>
      </c>
      <c r="H11" s="31">
        <v>4.5</v>
      </c>
      <c r="I11" s="31">
        <v>0</v>
      </c>
      <c r="J11" s="32">
        <f t="shared" si="2"/>
        <v>17808407.4017005</v>
      </c>
      <c r="K11" s="32">
        <f t="shared" si="6"/>
        <v>12660501.149270037</v>
      </c>
      <c r="L11" s="32">
        <v>0</v>
      </c>
      <c r="M11" s="32">
        <v>0</v>
      </c>
      <c r="N11" s="32">
        <f t="shared" si="7"/>
        <v>5342522.2205101503</v>
      </c>
      <c r="O11" s="166">
        <f t="shared" si="3"/>
        <v>12465885.181190349</v>
      </c>
      <c r="P11" s="174">
        <f t="shared" si="9"/>
        <v>-1364075.1589084566</v>
      </c>
      <c r="Q11" s="179" t="s">
        <v>32</v>
      </c>
      <c r="R11" s="180"/>
      <c r="S11" s="12">
        <f>[1]asm!C22</f>
        <v>10</v>
      </c>
      <c r="T11" s="13" t="s">
        <v>33</v>
      </c>
      <c r="V11" s="14">
        <f>ROUNDUP(X9,0)</f>
        <v>7</v>
      </c>
      <c r="W11" s="4" t="s">
        <v>34</v>
      </c>
      <c r="X11" s="5">
        <f>SUM(N7:N12)</f>
        <v>32224739.753206171</v>
      </c>
      <c r="Y11" s="42">
        <f>X11/V11</f>
        <v>4603534.2504580244</v>
      </c>
    </row>
    <row r="12" spans="1:28" ht="25.5">
      <c r="A12" s="27">
        <v>6</v>
      </c>
      <c r="B12" s="28">
        <v>3.5000000000000001E-3</v>
      </c>
      <c r="C12" s="29">
        <f t="shared" si="4"/>
        <v>2896278.5572193735</v>
      </c>
      <c r="D12" s="30">
        <f t="shared" si="8"/>
        <v>4228566.6935402863</v>
      </c>
      <c r="E12" s="19">
        <f t="shared" si="0"/>
        <v>2803597.6433883542</v>
      </c>
      <c r="F12" s="20">
        <f t="shared" si="5"/>
        <v>1139975.2401215457</v>
      </c>
      <c r="G12" s="18">
        <f t="shared" si="1"/>
        <v>3943572.8835099</v>
      </c>
      <c r="H12" s="31">
        <v>4.5</v>
      </c>
      <c r="I12" s="31">
        <v>0</v>
      </c>
      <c r="J12" s="32">
        <f t="shared" si="2"/>
        <v>17746077.97579455</v>
      </c>
      <c r="K12" s="32">
        <f t="shared" si="6"/>
        <v>12616189.395247594</v>
      </c>
      <c r="L12" s="32">
        <v>0</v>
      </c>
      <c r="M12" s="32">
        <v>0</v>
      </c>
      <c r="N12" s="32">
        <f t="shared" si="7"/>
        <v>5323823.3927383646</v>
      </c>
      <c r="O12" s="166">
        <f t="shared" si="3"/>
        <v>12422254.583056185</v>
      </c>
      <c r="P12" s="174">
        <f t="shared" si="9"/>
        <v>11058179.424147729</v>
      </c>
      <c r="Q12" s="196" t="s">
        <v>35</v>
      </c>
      <c r="R12" s="197"/>
      <c r="S12" s="43">
        <f>S11*100/365</f>
        <v>2.7397260273972601</v>
      </c>
      <c r="T12" s="13"/>
      <c r="W12" s="4" t="s">
        <v>36</v>
      </c>
      <c r="X12" s="5">
        <f>X11*30%</f>
        <v>9667421.9259618502</v>
      </c>
      <c r="Y12" s="5">
        <f>X12/V11</f>
        <v>1381060.2751374072</v>
      </c>
      <c r="Z12" s="5">
        <f>Y12/12</f>
        <v>115088.35626145061</v>
      </c>
      <c r="AA12" s="3">
        <f>Y12*100/Y11</f>
        <v>29.999999999999996</v>
      </c>
    </row>
    <row r="13" spans="1:28">
      <c r="A13" s="15">
        <v>7</v>
      </c>
      <c r="B13" s="28">
        <v>3.5000000000000001E-3</v>
      </c>
      <c r="C13" s="29">
        <f t="shared" si="4"/>
        <v>2886141.5822691061</v>
      </c>
      <c r="D13" s="30">
        <f t="shared" si="8"/>
        <v>4213766.7101128958</v>
      </c>
      <c r="E13" s="19">
        <f t="shared" si="0"/>
        <v>2793785.0516364952</v>
      </c>
      <c r="F13" s="20">
        <f t="shared" si="5"/>
        <v>1135985.3267811206</v>
      </c>
      <c r="G13" s="18">
        <f t="shared" si="1"/>
        <v>3929770.3784176158</v>
      </c>
      <c r="H13" s="31">
        <v>4.5</v>
      </c>
      <c r="I13" s="31">
        <v>0</v>
      </c>
      <c r="J13" s="32">
        <f t="shared" si="2"/>
        <v>17683966.702879272</v>
      </c>
      <c r="K13" s="32">
        <f t="shared" si="6"/>
        <v>12572032.732364228</v>
      </c>
      <c r="L13" s="32">
        <v>0</v>
      </c>
      <c r="M13" s="32">
        <v>0</v>
      </c>
      <c r="N13" s="99">
        <f>J13*0.5</f>
        <v>8841983.3514396362</v>
      </c>
      <c r="O13" s="167">
        <f t="shared" si="3"/>
        <v>8841983.3514396362</v>
      </c>
      <c r="P13" s="175"/>
      <c r="Q13" s="40"/>
      <c r="R13" s="35">
        <f>SUM(O7:O12)</f>
        <v>75191059.42414774</v>
      </c>
      <c r="S13" s="45">
        <f>O12/12*9</f>
        <v>9316690.9372921381</v>
      </c>
      <c r="T13" s="46">
        <f>SUM(R13:S13)</f>
        <v>84507750.361439884</v>
      </c>
      <c r="W13" s="4" t="s">
        <v>37</v>
      </c>
      <c r="X13" s="5">
        <f>X11*40%</f>
        <v>12889895.901282469</v>
      </c>
      <c r="Y13" s="5">
        <f>X13/V11</f>
        <v>1841413.7001832097</v>
      </c>
      <c r="Z13" s="5">
        <f>Y13/10</f>
        <v>184141.37001832097</v>
      </c>
      <c r="AA13" s="3">
        <f>Y13*100/Y11</f>
        <v>40</v>
      </c>
    </row>
    <row r="14" spans="1:28">
      <c r="A14" s="15">
        <v>8</v>
      </c>
      <c r="B14" s="28">
        <v>3.5000000000000001E-3</v>
      </c>
      <c r="C14" s="29">
        <f t="shared" si="4"/>
        <v>2876040.0867311643</v>
      </c>
      <c r="D14" s="30">
        <f t="shared" si="8"/>
        <v>4199018.5266275005</v>
      </c>
      <c r="E14" s="19">
        <f t="shared" si="0"/>
        <v>2784006.8039557678</v>
      </c>
      <c r="F14" s="20">
        <f t="shared" si="5"/>
        <v>1132009.3781373864</v>
      </c>
      <c r="G14" s="18">
        <f t="shared" si="1"/>
        <v>3916016.1820931542</v>
      </c>
      <c r="H14" s="31">
        <v>4.5</v>
      </c>
      <c r="I14" s="31">
        <v>0</v>
      </c>
      <c r="J14" s="32">
        <f t="shared" si="2"/>
        <v>17622072.819419194</v>
      </c>
      <c r="K14" s="32">
        <f t="shared" si="6"/>
        <v>12528030.617800955</v>
      </c>
      <c r="L14" s="32">
        <v>0</v>
      </c>
      <c r="M14" s="32">
        <v>0</v>
      </c>
      <c r="N14" s="99">
        <f t="shared" ref="N14:N31" si="10">J14*0.5</f>
        <v>8811036.409709597</v>
      </c>
      <c r="O14" s="167">
        <f t="shared" si="3"/>
        <v>8811036.409709597</v>
      </c>
      <c r="P14" s="175"/>
      <c r="Q14" s="179" t="s">
        <v>38</v>
      </c>
      <c r="R14" s="180"/>
      <c r="S14" s="12">
        <f>S7</f>
        <v>4380000</v>
      </c>
      <c r="T14" s="13" t="s">
        <v>25</v>
      </c>
      <c r="W14" s="4" t="s">
        <v>39</v>
      </c>
      <c r="X14" s="5">
        <f>X11*20%</f>
        <v>6444947.9506412344</v>
      </c>
      <c r="Y14" s="5">
        <f>X14/V11</f>
        <v>920706.85009160487</v>
      </c>
      <c r="Z14" s="5">
        <f>Y14/12</f>
        <v>76725.570840967077</v>
      </c>
      <c r="AA14" s="3">
        <f>Y14*100/Y11</f>
        <v>20</v>
      </c>
    </row>
    <row r="15" spans="1:28">
      <c r="A15" s="15">
        <v>9</v>
      </c>
      <c r="B15" s="28">
        <v>3.5000000000000001E-3</v>
      </c>
      <c r="C15" s="29">
        <f t="shared" si="4"/>
        <v>2865973.9464276051</v>
      </c>
      <c r="D15" s="30">
        <f t="shared" si="8"/>
        <v>4184321.9617843046</v>
      </c>
      <c r="E15" s="19">
        <f t="shared" si="0"/>
        <v>2774262.7801419226</v>
      </c>
      <c r="F15" s="20">
        <f t="shared" si="5"/>
        <v>1128047.3453139057</v>
      </c>
      <c r="G15" s="18">
        <f t="shared" si="1"/>
        <v>3902310.1254558284</v>
      </c>
      <c r="H15" s="31">
        <v>4.5</v>
      </c>
      <c r="I15" s="31">
        <v>0</v>
      </c>
      <c r="J15" s="32">
        <f t="shared" si="2"/>
        <v>17560395.564551227</v>
      </c>
      <c r="K15" s="32">
        <f t="shared" si="6"/>
        <v>12484182.510638652</v>
      </c>
      <c r="L15" s="32">
        <v>0</v>
      </c>
      <c r="M15" s="32">
        <v>0</v>
      </c>
      <c r="N15" s="99">
        <f t="shared" si="10"/>
        <v>8780197.7822756134</v>
      </c>
      <c r="O15" s="167">
        <f t="shared" si="3"/>
        <v>8780197.7822756134</v>
      </c>
      <c r="P15" s="175"/>
      <c r="Q15" s="40"/>
      <c r="R15" s="25"/>
      <c r="S15" s="47"/>
      <c r="T15" s="13"/>
      <c r="W15" s="4" t="s">
        <v>40</v>
      </c>
      <c r="X15" s="5">
        <f>X11-X12-X13-X14</f>
        <v>3222473.9753206158</v>
      </c>
      <c r="Y15" s="5">
        <f>X15/V11</f>
        <v>460353.42504580226</v>
      </c>
      <c r="Z15" s="5">
        <f>Y15/12</f>
        <v>38362.785420483524</v>
      </c>
      <c r="AA15" s="3">
        <f>100-AA12-AA13-AA14</f>
        <v>10</v>
      </c>
    </row>
    <row r="16" spans="1:28">
      <c r="A16" s="15">
        <v>10</v>
      </c>
      <c r="B16" s="28">
        <v>3.5000000000000001E-3</v>
      </c>
      <c r="C16" s="29">
        <f t="shared" si="4"/>
        <v>2855943.0376151088</v>
      </c>
      <c r="D16" s="30">
        <f t="shared" si="8"/>
        <v>4169676.8349180599</v>
      </c>
      <c r="E16" s="19">
        <f t="shared" si="0"/>
        <v>2764552.8604114261</v>
      </c>
      <c r="F16" s="20">
        <f t="shared" si="5"/>
        <v>1124099.1796053071</v>
      </c>
      <c r="G16" s="18">
        <f t="shared" si="1"/>
        <v>3888652.0400167331</v>
      </c>
      <c r="H16" s="31">
        <v>4.5</v>
      </c>
      <c r="I16" s="31">
        <v>0</v>
      </c>
      <c r="J16" s="32">
        <f t="shared" si="2"/>
        <v>17498934.180075299</v>
      </c>
      <c r="K16" s="32">
        <f t="shared" si="6"/>
        <v>12440487.871851418</v>
      </c>
      <c r="L16" s="32">
        <v>0</v>
      </c>
      <c r="M16" s="32">
        <v>0</v>
      </c>
      <c r="N16" s="99">
        <f t="shared" si="10"/>
        <v>8749467.0900376495</v>
      </c>
      <c r="O16" s="167">
        <f t="shared" si="3"/>
        <v>8749467.0900376495</v>
      </c>
      <c r="P16" s="175"/>
      <c r="Q16" s="179" t="s">
        <v>41</v>
      </c>
      <c r="R16" s="180"/>
      <c r="S16" s="48">
        <v>0.3</v>
      </c>
      <c r="T16" s="13"/>
      <c r="W16" s="49" t="s">
        <v>61</v>
      </c>
      <c r="AA16" s="50"/>
      <c r="AB16" s="4"/>
    </row>
    <row r="17" spans="1:28">
      <c r="A17" s="15">
        <v>11</v>
      </c>
      <c r="B17" s="28">
        <v>3.5000000000000001E-3</v>
      </c>
      <c r="C17" s="29">
        <f t="shared" si="4"/>
        <v>2845947.2369834562</v>
      </c>
      <c r="D17" s="30">
        <f t="shared" si="8"/>
        <v>4155082.9659958468</v>
      </c>
      <c r="E17" s="19">
        <f t="shared" si="0"/>
        <v>2754876.9253999861</v>
      </c>
      <c r="F17" s="20">
        <f>D17*$S$20*$S$21/365</f>
        <v>1120164.8324766885</v>
      </c>
      <c r="G17" s="18">
        <f t="shared" si="1"/>
        <v>3875041.7578766746</v>
      </c>
      <c r="H17" s="31">
        <v>4.5</v>
      </c>
      <c r="I17" s="31">
        <v>0</v>
      </c>
      <c r="J17" s="32">
        <f t="shared" si="2"/>
        <v>17437687.910445035</v>
      </c>
      <c r="K17" s="32">
        <f t="shared" si="6"/>
        <v>12396946.164299937</v>
      </c>
      <c r="L17" s="32">
        <v>0</v>
      </c>
      <c r="M17" s="32">
        <v>0</v>
      </c>
      <c r="N17" s="99">
        <f t="shared" si="10"/>
        <v>8718843.9552225173</v>
      </c>
      <c r="O17" s="167">
        <f t="shared" si="3"/>
        <v>8718843.9552225173</v>
      </c>
      <c r="P17" s="175"/>
      <c r="Q17" s="40"/>
      <c r="R17" s="25"/>
      <c r="S17" s="47"/>
      <c r="T17" s="25"/>
      <c r="V17" s="51"/>
      <c r="W17" s="4" t="s">
        <v>34</v>
      </c>
      <c r="Y17" s="5">
        <f>J13</f>
        <v>17683966.702879272</v>
      </c>
      <c r="AA17" s="52"/>
      <c r="AB17" s="53"/>
    </row>
    <row r="18" spans="1:28">
      <c r="A18" s="15">
        <v>12</v>
      </c>
      <c r="B18" s="28">
        <v>3.5000000000000001E-3</v>
      </c>
      <c r="C18" s="29">
        <f t="shared" si="4"/>
        <v>2835986.4216540144</v>
      </c>
      <c r="D18" s="30">
        <f t="shared" si="8"/>
        <v>4140540.1756148613</v>
      </c>
      <c r="E18" s="19">
        <f t="shared" si="0"/>
        <v>2745234.8561610864</v>
      </c>
      <c r="F18" s="20">
        <f t="shared" si="5"/>
        <v>1116244.2555630202</v>
      </c>
      <c r="G18" s="18">
        <f t="shared" si="1"/>
        <v>3861479.1117241066</v>
      </c>
      <c r="H18" s="31">
        <v>4.5</v>
      </c>
      <c r="I18" s="31">
        <v>0</v>
      </c>
      <c r="J18" s="32">
        <f t="shared" si="2"/>
        <v>17376656.002758481</v>
      </c>
      <c r="K18" s="32">
        <f t="shared" si="6"/>
        <v>12353556.852724889</v>
      </c>
      <c r="L18" s="32">
        <v>0</v>
      </c>
      <c r="M18" s="32">
        <v>0</v>
      </c>
      <c r="N18" s="99">
        <f t="shared" si="10"/>
        <v>8688328.0013792403</v>
      </c>
      <c r="O18" s="167">
        <f t="shared" si="3"/>
        <v>8688328.0013792403</v>
      </c>
      <c r="P18" s="175"/>
      <c r="Q18" s="40"/>
      <c r="R18" s="25"/>
      <c r="S18" s="25"/>
      <c r="T18" s="25"/>
      <c r="W18" s="4" t="s">
        <v>36</v>
      </c>
      <c r="Y18" s="5">
        <f>Y17*30%</f>
        <v>5305190.0108637819</v>
      </c>
      <c r="Z18" s="5">
        <f>Y18/12</f>
        <v>442099.16757198184</v>
      </c>
      <c r="AA18" s="3">
        <f>Y18*100/Y17</f>
        <v>30.000000000000004</v>
      </c>
    </row>
    <row r="19" spans="1:28">
      <c r="A19" s="15">
        <v>13</v>
      </c>
      <c r="B19" s="28">
        <v>3.5000000000000001E-3</v>
      </c>
      <c r="C19" s="29">
        <f t="shared" si="4"/>
        <v>2826060.4691782254</v>
      </c>
      <c r="D19" s="30">
        <f t="shared" si="8"/>
        <v>4126048.2850002097</v>
      </c>
      <c r="E19" s="19">
        <f t="shared" si="0"/>
        <v>2735626.5341645223</v>
      </c>
      <c r="F19" s="20">
        <f t="shared" si="5"/>
        <v>1112337.4006685498</v>
      </c>
      <c r="G19" s="18">
        <f t="shared" si="1"/>
        <v>3847963.9348330721</v>
      </c>
      <c r="H19" s="31">
        <v>4.5</v>
      </c>
      <c r="I19" s="31">
        <v>0</v>
      </c>
      <c r="J19" s="32">
        <f t="shared" si="2"/>
        <v>17315837.706748825</v>
      </c>
      <c r="K19" s="32">
        <f t="shared" si="6"/>
        <v>12310319.40374035</v>
      </c>
      <c r="L19" s="32">
        <v>0</v>
      </c>
      <c r="M19" s="32">
        <v>0</v>
      </c>
      <c r="N19" s="99">
        <f t="shared" si="10"/>
        <v>8657918.8533744123</v>
      </c>
      <c r="O19" s="167">
        <f t="shared" si="3"/>
        <v>8657918.8533744123</v>
      </c>
      <c r="P19" s="175"/>
      <c r="Q19" s="179" t="s">
        <v>43</v>
      </c>
      <c r="R19" s="180"/>
      <c r="S19" s="54">
        <f>[1]asm!C24</f>
        <v>242</v>
      </c>
      <c r="T19" s="13" t="s">
        <v>33</v>
      </c>
      <c r="U19" s="55"/>
      <c r="W19" s="4" t="s">
        <v>37</v>
      </c>
      <c r="Y19" s="5">
        <f>Y17*40%</f>
        <v>7073586.6811517095</v>
      </c>
      <c r="Z19" s="5">
        <f>Y19/10</f>
        <v>707358.66811517091</v>
      </c>
      <c r="AA19" s="3">
        <f>Y19*100/Y17</f>
        <v>40</v>
      </c>
    </row>
    <row r="20" spans="1:28">
      <c r="A20" s="15">
        <v>14</v>
      </c>
      <c r="B20" s="28">
        <v>3.5000000000000001E-3</v>
      </c>
      <c r="C20" s="29">
        <f t="shared" si="4"/>
        <v>2816169.2575361016</v>
      </c>
      <c r="D20" s="30">
        <f t="shared" si="8"/>
        <v>4111607.1160027091</v>
      </c>
      <c r="E20" s="19">
        <f t="shared" si="0"/>
        <v>2726051.8412949466</v>
      </c>
      <c r="F20" s="20">
        <f t="shared" si="5"/>
        <v>1108444.2197662098</v>
      </c>
      <c r="G20" s="18">
        <f t="shared" si="1"/>
        <v>3834496.0610611564</v>
      </c>
      <c r="H20" s="31">
        <v>4.5</v>
      </c>
      <c r="I20" s="31">
        <v>0</v>
      </c>
      <c r="J20" s="32">
        <f t="shared" si="2"/>
        <v>17255232.274775203</v>
      </c>
      <c r="K20" s="32">
        <f t="shared" si="6"/>
        <v>12267233.28582726</v>
      </c>
      <c r="L20" s="32">
        <v>0</v>
      </c>
      <c r="M20" s="32">
        <v>0</v>
      </c>
      <c r="N20" s="99">
        <f t="shared" si="10"/>
        <v>8627616.1373876017</v>
      </c>
      <c r="O20" s="167">
        <f t="shared" si="3"/>
        <v>8627616.1373876017</v>
      </c>
      <c r="P20" s="175"/>
      <c r="Q20" s="179" t="s">
        <v>44</v>
      </c>
      <c r="R20" s="180"/>
      <c r="S20" s="56">
        <f>365-S19</f>
        <v>123</v>
      </c>
      <c r="T20" s="13" t="s">
        <v>33</v>
      </c>
      <c r="U20" s="55"/>
      <c r="W20" s="4" t="s">
        <v>39</v>
      </c>
      <c r="Y20" s="5">
        <f>Y17*20%</f>
        <v>3536793.3405758548</v>
      </c>
      <c r="Z20" s="5">
        <f>Y20/12</f>
        <v>294732.77838132123</v>
      </c>
      <c r="AA20" s="3">
        <f>Y20*100/Y17</f>
        <v>20</v>
      </c>
    </row>
    <row r="21" spans="1:28">
      <c r="A21" s="15">
        <v>15</v>
      </c>
      <c r="B21" s="28">
        <v>3.5000000000000001E-3</v>
      </c>
      <c r="C21" s="29">
        <f t="shared" si="4"/>
        <v>2806312.6651347256</v>
      </c>
      <c r="D21" s="30">
        <f t="shared" si="8"/>
        <v>4097216.4910967001</v>
      </c>
      <c r="E21" s="19">
        <f t="shared" si="0"/>
        <v>2716510.6598504148</v>
      </c>
      <c r="F21" s="20">
        <f t="shared" si="5"/>
        <v>1104564.6649970284</v>
      </c>
      <c r="G21" s="18">
        <f t="shared" si="1"/>
        <v>3821075.324847443</v>
      </c>
      <c r="H21" s="31">
        <v>4.5</v>
      </c>
      <c r="I21" s="31">
        <v>0</v>
      </c>
      <c r="J21" s="32">
        <f t="shared" si="2"/>
        <v>17194838.961813495</v>
      </c>
      <c r="K21" s="32">
        <f t="shared" si="6"/>
        <v>12224297.969326867</v>
      </c>
      <c r="L21" s="32">
        <v>0</v>
      </c>
      <c r="M21" s="32">
        <v>0</v>
      </c>
      <c r="N21" s="99">
        <f t="shared" si="10"/>
        <v>8597419.4809067473</v>
      </c>
      <c r="O21" s="167">
        <f t="shared" si="3"/>
        <v>8597419.4809067473</v>
      </c>
      <c r="P21" s="175"/>
      <c r="Q21" s="179" t="s">
        <v>45</v>
      </c>
      <c r="R21" s="180"/>
      <c r="S21" s="57">
        <v>0.8</v>
      </c>
      <c r="T21" s="25"/>
      <c r="W21" s="4" t="s">
        <v>40</v>
      </c>
      <c r="Y21" s="5">
        <f>Y17*10%</f>
        <v>1768396.6702879274</v>
      </c>
      <c r="Z21" s="5">
        <f>Y21/12</f>
        <v>147366.38919066061</v>
      </c>
      <c r="AA21" s="3">
        <f>Y21*100/Y17</f>
        <v>10</v>
      </c>
    </row>
    <row r="22" spans="1:28">
      <c r="A22" s="15">
        <v>16</v>
      </c>
      <c r="B22" s="28">
        <v>3.5000000000000001E-3</v>
      </c>
      <c r="C22" s="29">
        <f t="shared" si="4"/>
        <v>2796490.5708067543</v>
      </c>
      <c r="D22" s="30">
        <f t="shared" si="8"/>
        <v>4082876.2333778618</v>
      </c>
      <c r="E22" s="19">
        <f t="shared" si="0"/>
        <v>2707002.8725409382</v>
      </c>
      <c r="F22" s="20">
        <f t="shared" si="5"/>
        <v>1100698.6886695386</v>
      </c>
      <c r="G22" s="18">
        <f t="shared" si="1"/>
        <v>3807701.5612104768</v>
      </c>
      <c r="H22" s="31">
        <v>4.5</v>
      </c>
      <c r="I22" s="31">
        <v>0</v>
      </c>
      <c r="J22" s="32">
        <f t="shared" si="2"/>
        <v>17134657.025447145</v>
      </c>
      <c r="K22" s="32">
        <f t="shared" si="6"/>
        <v>12181512.926434223</v>
      </c>
      <c r="L22" s="32">
        <v>0</v>
      </c>
      <c r="M22" s="32">
        <v>0</v>
      </c>
      <c r="N22" s="99">
        <f t="shared" si="10"/>
        <v>8567328.5127235726</v>
      </c>
      <c r="O22" s="167">
        <f t="shared" si="3"/>
        <v>8567328.5127235726</v>
      </c>
      <c r="P22" s="175"/>
      <c r="Q22" s="40"/>
      <c r="R22" s="25"/>
      <c r="S22" s="25"/>
      <c r="T22" s="25"/>
      <c r="W22" s="58"/>
      <c r="X22" s="97" t="s">
        <v>34</v>
      </c>
      <c r="Y22" s="97" t="s">
        <v>66</v>
      </c>
      <c r="Z22" s="97" t="s">
        <v>67</v>
      </c>
      <c r="AA22" s="59"/>
      <c r="AB22" s="59"/>
    </row>
    <row r="23" spans="1:28">
      <c r="A23" s="15">
        <v>17</v>
      </c>
      <c r="B23" s="28">
        <v>3.5000000000000001E-3</v>
      </c>
      <c r="C23" s="29">
        <f t="shared" si="4"/>
        <v>2786702.8538089306</v>
      </c>
      <c r="D23" s="30">
        <f t="shared" si="8"/>
        <v>4068586.1665610396</v>
      </c>
      <c r="E23" s="19">
        <f t="shared" si="0"/>
        <v>2697528.3624870456</v>
      </c>
      <c r="F23" s="20">
        <f t="shared" si="5"/>
        <v>1096846.2432591955</v>
      </c>
      <c r="G23" s="18">
        <f t="shared" si="1"/>
        <v>3794374.6057462413</v>
      </c>
      <c r="H23" s="31">
        <v>4.5</v>
      </c>
      <c r="I23" s="31">
        <v>0</v>
      </c>
      <c r="J23" s="32">
        <f t="shared" si="2"/>
        <v>17074685.725858085</v>
      </c>
      <c r="K23" s="32">
        <f t="shared" si="6"/>
        <v>12138877.631191704</v>
      </c>
      <c r="L23" s="32">
        <v>0</v>
      </c>
      <c r="M23" s="32">
        <v>0</v>
      </c>
      <c r="N23" s="99">
        <f t="shared" si="10"/>
        <v>8537342.8629290424</v>
      </c>
      <c r="O23" s="167">
        <f t="shared" si="3"/>
        <v>8537342.8629290424</v>
      </c>
      <c r="P23" s="175"/>
      <c r="Q23" s="179" t="s">
        <v>46</v>
      </c>
      <c r="R23" s="180"/>
      <c r="S23" s="60">
        <v>6.6</v>
      </c>
      <c r="T23" s="61"/>
      <c r="U23" s="14"/>
      <c r="W23" s="4" t="s">
        <v>64</v>
      </c>
      <c r="X23" s="5">
        <f>SUM(J13:J27)</f>
        <v>258858181.76897651</v>
      </c>
      <c r="Y23" s="5">
        <f>X23-X8</f>
        <v>181858181.76897651</v>
      </c>
      <c r="Z23" s="5">
        <f>Y23*100/X8</f>
        <v>236.17945684282665</v>
      </c>
      <c r="AA23" s="5"/>
      <c r="AB23" s="53"/>
    </row>
    <row r="24" spans="1:28">
      <c r="A24" s="15">
        <v>18</v>
      </c>
      <c r="B24" s="28">
        <v>3.5000000000000001E-3</v>
      </c>
      <c r="C24" s="29">
        <f t="shared" si="4"/>
        <v>2776949.3938205997</v>
      </c>
      <c r="D24" s="30">
        <f t="shared" si="8"/>
        <v>4054346.1149780764</v>
      </c>
      <c r="E24" s="19">
        <f t="shared" si="0"/>
        <v>2688087.0132183409</v>
      </c>
      <c r="F24" s="20">
        <f t="shared" si="5"/>
        <v>1093007.2814077884</v>
      </c>
      <c r="G24" s="18">
        <f t="shared" si="1"/>
        <v>3781094.2946261293</v>
      </c>
      <c r="H24" s="31">
        <v>4.5</v>
      </c>
      <c r="I24" s="31">
        <v>0</v>
      </c>
      <c r="J24" s="32">
        <f t="shared" si="2"/>
        <v>17014924.325817581</v>
      </c>
      <c r="K24" s="32">
        <f t="shared" si="6"/>
        <v>12096391.559482533</v>
      </c>
      <c r="L24" s="32">
        <v>0</v>
      </c>
      <c r="M24" s="32">
        <v>0</v>
      </c>
      <c r="N24" s="99">
        <f t="shared" si="10"/>
        <v>8507462.1629087906</v>
      </c>
      <c r="O24" s="167">
        <f>J24-N24</f>
        <v>8507462.1629087906</v>
      </c>
      <c r="P24" s="175"/>
      <c r="Q24" s="179" t="s">
        <v>69</v>
      </c>
      <c r="R24" s="180"/>
      <c r="S24" s="60">
        <f>S23*0.75</f>
        <v>4.9499999999999993</v>
      </c>
      <c r="T24" s="61"/>
      <c r="U24" s="14"/>
      <c r="W24" s="4" t="s">
        <v>65</v>
      </c>
      <c r="X24" s="5">
        <f>J32</f>
        <v>433034317.38951653</v>
      </c>
      <c r="Y24" s="5">
        <f>X24-X8</f>
        <v>356034317.38951653</v>
      </c>
      <c r="Z24" s="5">
        <f>Y24*100/X8</f>
        <v>462.3822303759955</v>
      </c>
      <c r="AA24" s="5"/>
    </row>
    <row r="25" spans="1:28">
      <c r="A25" s="15">
        <v>19</v>
      </c>
      <c r="B25" s="28">
        <v>3.5000000000000001E-3</v>
      </c>
      <c r="C25" s="29">
        <f t="shared" si="4"/>
        <v>2767230.0709422277</v>
      </c>
      <c r="D25" s="30">
        <f t="shared" si="8"/>
        <v>4040155.9035756532</v>
      </c>
      <c r="E25" s="19">
        <f t="shared" si="0"/>
        <v>2678678.7086720769</v>
      </c>
      <c r="F25" s="20">
        <f t="shared" si="5"/>
        <v>1089181.7559228609</v>
      </c>
      <c r="G25" s="18">
        <f t="shared" si="1"/>
        <v>3767860.4645949379</v>
      </c>
      <c r="H25" s="31">
        <v>4.5</v>
      </c>
      <c r="I25" s="31">
        <v>0</v>
      </c>
      <c r="J25" s="32">
        <f t="shared" si="2"/>
        <v>16955372.09067722</v>
      </c>
      <c r="K25" s="32">
        <f t="shared" si="6"/>
        <v>12054054.189024346</v>
      </c>
      <c r="L25" s="32">
        <v>0</v>
      </c>
      <c r="M25" s="32">
        <v>0</v>
      </c>
      <c r="N25" s="99">
        <f t="shared" si="10"/>
        <v>8477686.0453386102</v>
      </c>
      <c r="O25" s="167">
        <f t="shared" ref="O25:O30" si="11">J25-N25</f>
        <v>8477686.0453386102</v>
      </c>
      <c r="P25" s="175"/>
      <c r="Q25" s="63" t="s">
        <v>48</v>
      </c>
      <c r="R25" s="64"/>
      <c r="S25" s="65">
        <f>X8</f>
        <v>77000000</v>
      </c>
      <c r="T25" s="61" t="s">
        <v>49</v>
      </c>
      <c r="U25" s="14"/>
      <c r="X25" s="5">
        <f>X24-X23</f>
        <v>174176135.62054002</v>
      </c>
      <c r="Y25" s="5">
        <f>Y24-Y23</f>
        <v>174176135.62054002</v>
      </c>
      <c r="AA25" s="5"/>
    </row>
    <row r="26" spans="1:28">
      <c r="A26" s="15">
        <v>20</v>
      </c>
      <c r="B26" s="28">
        <v>3.5000000000000001E-3</v>
      </c>
      <c r="C26" s="29">
        <f t="shared" si="4"/>
        <v>2757544.76569393</v>
      </c>
      <c r="D26" s="30">
        <f t="shared" si="8"/>
        <v>4026015.3579131388</v>
      </c>
      <c r="E26" s="19">
        <f t="shared" si="0"/>
        <v>2669303.333191725</v>
      </c>
      <c r="F26" s="20">
        <f t="shared" si="5"/>
        <v>1085369.6197771314</v>
      </c>
      <c r="G26" s="18">
        <f t="shared" si="1"/>
        <v>3754672.9529688563</v>
      </c>
      <c r="H26" s="31">
        <v>4.5</v>
      </c>
      <c r="I26" s="31">
        <v>0</v>
      </c>
      <c r="J26" s="32">
        <f t="shared" si="2"/>
        <v>16896028.288359854</v>
      </c>
      <c r="K26" s="32">
        <f t="shared" si="6"/>
        <v>12011864.999362763</v>
      </c>
      <c r="L26" s="32">
        <v>0</v>
      </c>
      <c r="M26" s="32">
        <v>0</v>
      </c>
      <c r="N26" s="99">
        <f t="shared" si="10"/>
        <v>8448014.1441799272</v>
      </c>
      <c r="O26" s="167">
        <f t="shared" si="11"/>
        <v>8448014.1441799272</v>
      </c>
      <c r="P26" s="175"/>
      <c r="Q26" s="66" t="s">
        <v>37</v>
      </c>
      <c r="R26" s="67" t="s">
        <v>50</v>
      </c>
      <c r="S26" s="68"/>
      <c r="U26" s="14"/>
      <c r="AA26" s="5"/>
    </row>
    <row r="27" spans="1:28">
      <c r="A27" s="15">
        <v>21</v>
      </c>
      <c r="B27" s="28">
        <v>3.5000000000000001E-3</v>
      </c>
      <c r="C27" s="29">
        <f t="shared" si="4"/>
        <v>2747893.3590140012</v>
      </c>
      <c r="D27" s="30">
        <f t="shared" si="8"/>
        <v>4011924.3041604431</v>
      </c>
      <c r="E27" s="19">
        <f t="shared" si="0"/>
        <v>2659960.7715255544</v>
      </c>
      <c r="F27" s="20">
        <f t="shared" si="5"/>
        <v>1081570.8261079113</v>
      </c>
      <c r="G27" s="18">
        <f t="shared" si="1"/>
        <v>3741531.5976334657</v>
      </c>
      <c r="H27" s="31">
        <v>4.5</v>
      </c>
      <c r="I27" s="31">
        <v>0</v>
      </c>
      <c r="J27" s="32">
        <f t="shared" si="2"/>
        <v>16836892.189350594</v>
      </c>
      <c r="K27" s="32">
        <f t="shared" si="6"/>
        <v>11969823.471864995</v>
      </c>
      <c r="L27" s="32">
        <v>0</v>
      </c>
      <c r="M27" s="32">
        <v>0</v>
      </c>
      <c r="N27" s="99">
        <f t="shared" si="10"/>
        <v>8418446.0946752969</v>
      </c>
      <c r="O27" s="167">
        <f t="shared" si="11"/>
        <v>8418446.0946752969</v>
      </c>
      <c r="P27" s="175"/>
      <c r="Q27" s="66"/>
      <c r="R27" s="67" t="s">
        <v>51</v>
      </c>
      <c r="S27" s="68"/>
      <c r="U27" s="14"/>
    </row>
    <row r="28" spans="1:28">
      <c r="A28" s="15">
        <v>22</v>
      </c>
      <c r="B28" s="28">
        <v>3.5000000000000001E-3</v>
      </c>
      <c r="C28" s="29">
        <f t="shared" si="4"/>
        <v>2738275.7322574523</v>
      </c>
      <c r="D28" s="30">
        <f t="shared" si="8"/>
        <v>3997882.5690958817</v>
      </c>
      <c r="E28" s="19">
        <f t="shared" si="0"/>
        <v>2650650.9088252145</v>
      </c>
      <c r="F28" s="20">
        <f t="shared" si="5"/>
        <v>1077785.3282165336</v>
      </c>
      <c r="G28" s="18">
        <f t="shared" si="1"/>
        <v>3728436.2370417481</v>
      </c>
      <c r="H28" s="31">
        <v>4.5</v>
      </c>
      <c r="I28" s="31">
        <v>0</v>
      </c>
      <c r="J28" s="32">
        <f t="shared" si="2"/>
        <v>16777963.066687867</v>
      </c>
      <c r="K28" s="32">
        <f t="shared" si="6"/>
        <v>11927929.089713465</v>
      </c>
      <c r="L28" s="32">
        <v>0</v>
      </c>
      <c r="M28" s="32">
        <v>0</v>
      </c>
      <c r="N28" s="99">
        <f t="shared" si="10"/>
        <v>8388981.5333439335</v>
      </c>
      <c r="O28" s="167">
        <f t="shared" si="11"/>
        <v>8388981.5333439335</v>
      </c>
      <c r="P28" s="175"/>
      <c r="Q28" s="66"/>
      <c r="R28" s="67" t="s">
        <v>52</v>
      </c>
      <c r="S28" s="68"/>
      <c r="U28" s="14"/>
    </row>
    <row r="29" spans="1:28">
      <c r="A29" s="15">
        <v>23</v>
      </c>
      <c r="B29" s="28">
        <v>3.5000000000000001E-3</v>
      </c>
      <c r="C29" s="29">
        <f t="shared" si="4"/>
        <v>2728691.7671945514</v>
      </c>
      <c r="D29" s="30">
        <f t="shared" si="8"/>
        <v>3983889.9801040464</v>
      </c>
      <c r="E29" s="19">
        <f t="shared" si="0"/>
        <v>2641373.6306443266</v>
      </c>
      <c r="F29" s="20">
        <f t="shared" si="5"/>
        <v>1074013.0795677761</v>
      </c>
      <c r="G29" s="18">
        <f t="shared" si="1"/>
        <v>3715386.7102121026</v>
      </c>
      <c r="H29" s="31">
        <v>4.5</v>
      </c>
      <c r="I29" s="31">
        <v>0</v>
      </c>
      <c r="J29" s="32">
        <f t="shared" si="2"/>
        <v>16719240.195954463</v>
      </c>
      <c r="K29" s="32">
        <f t="shared" si="6"/>
        <v>11886181.337899469</v>
      </c>
      <c r="L29" s="32">
        <v>0</v>
      </c>
      <c r="M29" s="32">
        <v>0</v>
      </c>
      <c r="N29" s="99">
        <f t="shared" si="10"/>
        <v>8359620.0979772313</v>
      </c>
      <c r="O29" s="167">
        <f t="shared" si="11"/>
        <v>8359620.0979772313</v>
      </c>
      <c r="P29" s="175"/>
      <c r="Q29" s="66"/>
      <c r="R29" s="67" t="s">
        <v>53</v>
      </c>
      <c r="S29" s="68"/>
      <c r="U29" s="14"/>
    </row>
    <row r="30" spans="1:28">
      <c r="A30" s="15">
        <v>24</v>
      </c>
      <c r="B30" s="28">
        <v>3.5000000000000001E-3</v>
      </c>
      <c r="C30" s="29">
        <f t="shared" si="4"/>
        <v>2719141.3460093704</v>
      </c>
      <c r="D30" s="30">
        <f t="shared" si="8"/>
        <v>3969946.3651736826</v>
      </c>
      <c r="E30" s="19">
        <f t="shared" si="0"/>
        <v>2632128.8229370718</v>
      </c>
      <c r="F30" s="20">
        <f t="shared" si="5"/>
        <v>1070254.0337892887</v>
      </c>
      <c r="G30" s="18">
        <f t="shared" si="1"/>
        <v>3702382.8567263605</v>
      </c>
      <c r="H30" s="31">
        <v>4.5</v>
      </c>
      <c r="I30" s="31">
        <v>0</v>
      </c>
      <c r="J30" s="32">
        <f t="shared" si="2"/>
        <v>16660722.855268622</v>
      </c>
      <c r="K30" s="32">
        <f t="shared" si="6"/>
        <v>11844579.703216823</v>
      </c>
      <c r="L30" s="32">
        <v>0</v>
      </c>
      <c r="M30" s="32">
        <v>0</v>
      </c>
      <c r="N30" s="99">
        <f t="shared" si="10"/>
        <v>8330361.4276343109</v>
      </c>
      <c r="O30" s="167">
        <f t="shared" si="11"/>
        <v>8330361.4276343109</v>
      </c>
      <c r="P30" s="175"/>
      <c r="Q30" s="66"/>
      <c r="R30" s="67" t="s">
        <v>54</v>
      </c>
      <c r="S30" s="68"/>
      <c r="U30" s="14"/>
    </row>
    <row r="31" spans="1:28">
      <c r="A31" s="15">
        <v>25</v>
      </c>
      <c r="B31" s="28">
        <v>3.5000000000000001E-3</v>
      </c>
      <c r="C31" s="29">
        <f t="shared" si="4"/>
        <v>2709624.3512983378</v>
      </c>
      <c r="D31" s="30">
        <f t="shared" si="8"/>
        <v>3956051.5528955748</v>
      </c>
      <c r="E31" s="19">
        <f t="shared" si="0"/>
        <v>2622916.372056792</v>
      </c>
      <c r="F31" s="20">
        <f t="shared" si="5"/>
        <v>1066508.1446710264</v>
      </c>
      <c r="G31" s="18">
        <f t="shared" si="1"/>
        <v>3689424.5167278182</v>
      </c>
      <c r="H31" s="31">
        <v>4.5</v>
      </c>
      <c r="I31" s="31">
        <v>0</v>
      </c>
      <c r="J31" s="32">
        <f t="shared" si="2"/>
        <v>16602410.325275183</v>
      </c>
      <c r="K31" s="32">
        <f t="shared" si="6"/>
        <v>11803123.674255565</v>
      </c>
      <c r="L31" s="32">
        <v>0</v>
      </c>
      <c r="M31" s="32">
        <v>0</v>
      </c>
      <c r="N31" s="99">
        <f t="shared" si="10"/>
        <v>8301205.1626375914</v>
      </c>
      <c r="O31" s="167">
        <f>J31-N31</f>
        <v>8301205.1626375914</v>
      </c>
      <c r="P31" s="175"/>
      <c r="Q31" s="69"/>
      <c r="R31" s="70"/>
      <c r="U31" s="14"/>
    </row>
    <row r="32" spans="1:28">
      <c r="A32" s="15" t="s">
        <v>55</v>
      </c>
      <c r="B32" s="71">
        <f>SUM(B7:B31)</f>
        <v>0.10150000000000006</v>
      </c>
      <c r="C32" s="72">
        <f>AVERAGE(C6:C31)</f>
        <v>2833619.0541891176</v>
      </c>
      <c r="D32" s="73">
        <f>SUM(D7:D26)</f>
        <v>83264484.525589257</v>
      </c>
      <c r="E32" s="73"/>
      <c r="F32" s="73"/>
      <c r="G32" s="73"/>
      <c r="H32" s="74"/>
      <c r="I32" s="74"/>
      <c r="J32" s="75">
        <f t="shared" ref="J32:M32" si="12">SUM(J7:J31)</f>
        <v>433034317.38951653</v>
      </c>
      <c r="K32" s="75">
        <f t="shared" si="12"/>
        <v>307856359.60124266</v>
      </c>
      <c r="L32" s="75">
        <f t="shared" si="12"/>
        <v>0</v>
      </c>
      <c r="M32" s="75">
        <f t="shared" si="12"/>
        <v>0</v>
      </c>
      <c r="N32" s="75">
        <f>SUM(N7:N31)</f>
        <v>195033998.85928747</v>
      </c>
      <c r="O32" s="168">
        <f>SUM(O7:O31)</f>
        <v>238000318.53022906</v>
      </c>
      <c r="P32" s="176"/>
      <c r="Q32" s="77"/>
    </row>
    <row r="33" spans="1:21">
      <c r="A33" s="78"/>
      <c r="B33" s="79"/>
      <c r="C33" s="80"/>
      <c r="D33" s="73"/>
      <c r="E33" s="81"/>
      <c r="F33" s="81"/>
      <c r="G33" s="81"/>
      <c r="H33" s="82"/>
      <c r="I33" s="82"/>
      <c r="J33" s="77"/>
      <c r="K33" s="77"/>
      <c r="L33" s="77"/>
      <c r="M33" s="77"/>
      <c r="N33" s="83" t="s">
        <v>56</v>
      </c>
      <c r="O33" s="83">
        <v>5.75</v>
      </c>
      <c r="P33" s="176"/>
      <c r="Q33" s="77" t="s">
        <v>57</v>
      </c>
      <c r="R33" s="3">
        <f>9/12</f>
        <v>0.75</v>
      </c>
    </row>
    <row r="34" spans="1:21">
      <c r="B34" s="4"/>
      <c r="C34" s="84"/>
      <c r="D34" s="85">
        <f>D32*1.07</f>
        <v>89092998.442380518</v>
      </c>
      <c r="E34" s="86"/>
      <c r="F34" s="86"/>
      <c r="G34" s="86"/>
      <c r="H34" s="86"/>
      <c r="J34" s="87" t="s">
        <v>58</v>
      </c>
      <c r="K34" s="88">
        <f>NPV(0.1%,K7:K26)</f>
        <v>245863925.04116571</v>
      </c>
      <c r="L34" s="88"/>
      <c r="M34" s="88"/>
      <c r="N34" s="89" t="s">
        <v>58</v>
      </c>
      <c r="O34" s="89">
        <f>NPV(10%,O7:O26)</f>
        <v>90764921.675544947</v>
      </c>
      <c r="P34" s="176"/>
      <c r="Q34" s="90" t="s">
        <v>49</v>
      </c>
      <c r="S34" s="3">
        <f>(IF([1]การใช้ไฟย้อนหลัง!F23&gt;=1,1,[1]การใช้ไฟย้อนหลัง!F23))</f>
        <v>1</v>
      </c>
    </row>
    <row r="35" spans="1:21">
      <c r="B35" s="4"/>
      <c r="C35" s="91" t="s">
        <v>59</v>
      </c>
      <c r="D35" s="92">
        <f>AVERAGE(D6:D26)</f>
        <v>4173546.882170917</v>
      </c>
      <c r="E35" s="92">
        <f>D35*100/[1]การใช้ไฟย้อนหลัง!R21</f>
        <v>198.31388448397232</v>
      </c>
      <c r="F35" s="92"/>
      <c r="G35" s="92"/>
      <c r="H35" s="92"/>
      <c r="I35" s="87"/>
      <c r="N35" s="89" t="s">
        <v>60</v>
      </c>
      <c r="O35" s="93">
        <f>IRR(O6:O31,0.1)</f>
        <v>0.16949232027191563</v>
      </c>
      <c r="P35" s="177"/>
      <c r="R35" s="4"/>
    </row>
    <row r="36" spans="1:21">
      <c r="B36" s="4"/>
      <c r="C36" s="91"/>
      <c r="D36" s="92"/>
      <c r="E36" s="92"/>
      <c r="F36" s="92"/>
      <c r="G36" s="92"/>
      <c r="H36" s="92"/>
      <c r="I36" s="87"/>
      <c r="N36" s="89"/>
      <c r="O36" s="93"/>
      <c r="P36" s="177"/>
      <c r="R36" s="4"/>
    </row>
    <row r="37" spans="1:21">
      <c r="B37" s="4"/>
      <c r="C37" s="4"/>
      <c r="D37" s="52"/>
      <c r="E37" s="52"/>
      <c r="F37" s="52"/>
      <c r="G37" s="52"/>
      <c r="H37" s="52"/>
      <c r="I37" s="87"/>
      <c r="R37" s="4"/>
      <c r="U37" s="94"/>
    </row>
    <row r="38" spans="1:21">
      <c r="C38" s="4"/>
      <c r="D38" s="95"/>
      <c r="E38" s="95"/>
      <c r="F38" s="95"/>
      <c r="G38" s="95"/>
      <c r="H38" s="95"/>
      <c r="I38" s="87"/>
      <c r="R38" s="4"/>
    </row>
    <row r="39" spans="1:21">
      <c r="B39" s="94"/>
    </row>
    <row r="40" spans="1:21">
      <c r="B40" s="96"/>
      <c r="C40" s="50"/>
      <c r="D40" s="95"/>
      <c r="E40" s="95"/>
      <c r="F40" s="95"/>
      <c r="G40" s="95"/>
      <c r="H40" s="95"/>
      <c r="I40" s="87"/>
    </row>
    <row r="41" spans="1:21">
      <c r="C41" s="50"/>
      <c r="D41" s="95"/>
      <c r="E41" s="95"/>
      <c r="F41" s="95"/>
      <c r="G41" s="95"/>
      <c r="H41" s="95"/>
      <c r="I41" s="87"/>
    </row>
    <row r="45" spans="1:21">
      <c r="J45" s="3"/>
      <c r="K45" s="3"/>
    </row>
  </sheetData>
  <mergeCells count="20">
    <mergeCell ref="Q16:R16"/>
    <mergeCell ref="A2:O2"/>
    <mergeCell ref="A3:G3"/>
    <mergeCell ref="H3:J3"/>
    <mergeCell ref="L3:N4"/>
    <mergeCell ref="O3:O4"/>
    <mergeCell ref="A4:A5"/>
    <mergeCell ref="B4:B5"/>
    <mergeCell ref="C4:C5"/>
    <mergeCell ref="E4:G4"/>
    <mergeCell ref="Q5:R5"/>
    <mergeCell ref="Q7:R7"/>
    <mergeCell ref="Q11:R11"/>
    <mergeCell ref="Q12:R12"/>
    <mergeCell ref="Q14:R14"/>
    <mergeCell ref="Q19:R19"/>
    <mergeCell ref="Q20:R20"/>
    <mergeCell ref="Q21:R21"/>
    <mergeCell ref="Q23:R23"/>
    <mergeCell ref="Q24:R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A9CD-B442-42EE-B3BA-B5CA45822869}">
  <dimension ref="A1:AB45"/>
  <sheetViews>
    <sheetView topLeftCell="N1" zoomScale="110" zoomScaleNormal="110" workbookViewId="0">
      <selection activeCell="S12" sqref="S12"/>
    </sheetView>
  </sheetViews>
  <sheetFormatPr defaultColWidth="10.28515625" defaultRowHeight="24"/>
  <cols>
    <col min="1" max="1" width="7.140625" style="3" customWidth="1"/>
    <col min="2" max="2" width="13" style="3" customWidth="1"/>
    <col min="3" max="3" width="16.42578125" style="3" customWidth="1"/>
    <col min="4" max="4" width="19.5703125" style="3" customWidth="1"/>
    <col min="5" max="5" width="16.42578125" style="3" customWidth="1"/>
    <col min="6" max="6" width="19.28515625" style="3" customWidth="1"/>
    <col min="7" max="7" width="15.7109375" style="3" customWidth="1"/>
    <col min="8" max="8" width="12.28515625" style="3" customWidth="1"/>
    <col min="9" max="9" width="16.140625" style="3" hidden="1" customWidth="1"/>
    <col min="10" max="10" width="21.42578125" style="4" customWidth="1"/>
    <col min="11" max="11" width="25.7109375" style="4" hidden="1" customWidth="1"/>
    <col min="12" max="12" width="19.140625" style="3" hidden="1" customWidth="1"/>
    <col min="13" max="13" width="19.7109375" style="3" hidden="1" customWidth="1"/>
    <col min="14" max="14" width="20.5703125" style="3" customWidth="1"/>
    <col min="15" max="15" width="19" style="3" customWidth="1"/>
    <col min="16" max="16" width="21" style="170" hidden="1" customWidth="1"/>
    <col min="17" max="17" width="23.85546875" style="1" customWidth="1"/>
    <col min="18" max="18" width="20.28515625" style="3" customWidth="1"/>
    <col min="19" max="19" width="25.140625" style="3" bestFit="1" customWidth="1"/>
    <col min="20" max="20" width="14.28515625" style="3" customWidth="1"/>
    <col min="21" max="21" width="19.42578125" style="3" customWidth="1"/>
    <col min="22" max="22" width="12.42578125" style="3" customWidth="1"/>
    <col min="23" max="23" width="14.28515625" style="4" customWidth="1"/>
    <col min="24" max="24" width="17.5703125" style="5" bestFit="1" customWidth="1"/>
    <col min="25" max="25" width="19.140625" style="5" customWidth="1"/>
    <col min="26" max="26" width="16.7109375" style="5" bestFit="1" customWidth="1"/>
    <col min="27" max="27" width="18.7109375" style="3" bestFit="1" customWidth="1"/>
    <col min="28" max="29" width="10.140625" style="3" customWidth="1"/>
    <col min="30" max="30" width="12.5703125" style="3" customWidth="1"/>
    <col min="31" max="36" width="10.140625" style="3" customWidth="1"/>
    <col min="37" max="16384" width="10.28515625" style="3"/>
  </cols>
  <sheetData>
    <row r="1" spans="1:28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1"/>
      <c r="M1" s="1"/>
      <c r="N1" s="1"/>
      <c r="O1" s="1"/>
    </row>
    <row r="2" spans="1:28" ht="30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71"/>
      <c r="Q2" s="7"/>
      <c r="T2" s="8"/>
    </row>
    <row r="3" spans="1:28" ht="30">
      <c r="A3" s="182" t="s">
        <v>2</v>
      </c>
      <c r="B3" s="183"/>
      <c r="C3" s="183"/>
      <c r="D3" s="183"/>
      <c r="E3" s="183"/>
      <c r="F3" s="183"/>
      <c r="G3" s="184"/>
      <c r="H3" s="182" t="s">
        <v>3</v>
      </c>
      <c r="I3" s="183"/>
      <c r="J3" s="184"/>
      <c r="K3" s="6"/>
      <c r="L3" s="185" t="s">
        <v>63</v>
      </c>
      <c r="M3" s="186"/>
      <c r="N3" s="187"/>
      <c r="O3" s="198" t="s">
        <v>5</v>
      </c>
      <c r="P3" s="172"/>
      <c r="Q3" s="7"/>
      <c r="T3" s="8"/>
    </row>
    <row r="4" spans="1:28" ht="72">
      <c r="A4" s="193" t="s">
        <v>6</v>
      </c>
      <c r="B4" s="195" t="s">
        <v>7</v>
      </c>
      <c r="C4" s="195" t="s">
        <v>8</v>
      </c>
      <c r="D4" s="10" t="s">
        <v>9</v>
      </c>
      <c r="E4" s="195" t="s">
        <v>10</v>
      </c>
      <c r="F4" s="195"/>
      <c r="G4" s="195"/>
      <c r="H4" s="9" t="s">
        <v>11</v>
      </c>
      <c r="I4" s="9" t="s">
        <v>12</v>
      </c>
      <c r="J4" s="9" t="s">
        <v>13</v>
      </c>
      <c r="K4" s="9"/>
      <c r="L4" s="188"/>
      <c r="M4" s="189"/>
      <c r="N4" s="190"/>
      <c r="O4" s="199"/>
      <c r="P4" s="172" t="s">
        <v>74</v>
      </c>
      <c r="Q4" s="7"/>
    </row>
    <row r="5" spans="1:28">
      <c r="A5" s="194"/>
      <c r="B5" s="195"/>
      <c r="C5" s="195"/>
      <c r="D5" s="9"/>
      <c r="E5" s="11" t="s">
        <v>14</v>
      </c>
      <c r="F5" s="11" t="s">
        <v>15</v>
      </c>
      <c r="G5" s="11" t="s">
        <v>16</v>
      </c>
      <c r="H5" s="9" t="s">
        <v>17</v>
      </c>
      <c r="I5" s="9" t="s">
        <v>17</v>
      </c>
      <c r="J5" s="9" t="s">
        <v>18</v>
      </c>
      <c r="K5" s="9"/>
      <c r="L5" s="9" t="s">
        <v>17</v>
      </c>
      <c r="M5" s="9" t="s">
        <v>17</v>
      </c>
      <c r="N5" s="9" t="s">
        <v>19</v>
      </c>
      <c r="O5" s="165" t="s">
        <v>19</v>
      </c>
      <c r="P5" s="172"/>
      <c r="Q5" s="179" t="s">
        <v>20</v>
      </c>
      <c r="R5" s="180"/>
      <c r="S5" s="12">
        <v>3000000</v>
      </c>
      <c r="T5" s="13" t="s">
        <v>21</v>
      </c>
      <c r="U5" s="14">
        <f>S5*4/1000</f>
        <v>12000</v>
      </c>
      <c r="W5" s="104" t="s">
        <v>22</v>
      </c>
      <c r="X5" s="105">
        <v>25</v>
      </c>
    </row>
    <row r="6" spans="1:28">
      <c r="A6" s="15">
        <v>0</v>
      </c>
      <c r="B6" s="16"/>
      <c r="C6" s="17">
        <f>S5</f>
        <v>3000000</v>
      </c>
      <c r="D6" s="18">
        <f>S14</f>
        <v>4380000</v>
      </c>
      <c r="E6" s="19">
        <f>D6*$S$19/365</f>
        <v>2904000</v>
      </c>
      <c r="F6" s="20">
        <f>D6*$S$20*$S$21/365</f>
        <v>1180800</v>
      </c>
      <c r="G6" s="18">
        <f>E6+F6</f>
        <v>4084800</v>
      </c>
      <c r="H6" s="31">
        <v>4</v>
      </c>
      <c r="I6" s="21"/>
      <c r="J6" s="32">
        <f>(G6*H6)</f>
        <v>16339200</v>
      </c>
      <c r="K6" s="22">
        <f>-125400000</f>
        <v>-125400000</v>
      </c>
      <c r="L6" s="16"/>
      <c r="M6" s="16"/>
      <c r="N6" s="32">
        <f>J6*0.3</f>
        <v>4901760</v>
      </c>
      <c r="O6" s="164">
        <f>-X8+J6-N6</f>
        <v>-65562560</v>
      </c>
      <c r="P6" s="173">
        <v>0</v>
      </c>
      <c r="Q6" s="24"/>
      <c r="R6" s="25"/>
      <c r="S6" s="26"/>
      <c r="T6" s="13"/>
      <c r="W6" s="104" t="s">
        <v>23</v>
      </c>
      <c r="X6" s="105">
        <f>S5*X5</f>
        <v>75000000</v>
      </c>
    </row>
    <row r="7" spans="1:28" ht="25.5">
      <c r="A7" s="27">
        <v>1</v>
      </c>
      <c r="B7" s="28">
        <v>1.7500000000000002E-2</v>
      </c>
      <c r="C7" s="29">
        <f>C6*(1-B7)</f>
        <v>2947500</v>
      </c>
      <c r="D7" s="30">
        <f>D6*(1-B7)</f>
        <v>4303350</v>
      </c>
      <c r="E7" s="19">
        <f t="shared" ref="E7:E31" si="0">D7*$S$19/365</f>
        <v>2853180</v>
      </c>
      <c r="F7" s="20">
        <f>D7*$S$20*$S$21/365</f>
        <v>1160136</v>
      </c>
      <c r="G7" s="18">
        <f t="shared" ref="G7:G31" si="1">E7+F7</f>
        <v>4013316</v>
      </c>
      <c r="H7" s="31">
        <v>4</v>
      </c>
      <c r="I7" s="31">
        <v>0</v>
      </c>
      <c r="J7" s="32">
        <f t="shared" ref="J7:J31" si="2">(G7*H7)</f>
        <v>16053264</v>
      </c>
      <c r="K7" s="32">
        <f>(E7*H7)</f>
        <v>11412720</v>
      </c>
      <c r="L7" s="32">
        <v>0</v>
      </c>
      <c r="M7" s="32">
        <v>0</v>
      </c>
      <c r="N7" s="32">
        <f t="shared" ref="N7:N32" si="3">J7*0.3</f>
        <v>4815979.2</v>
      </c>
      <c r="O7" s="166">
        <f>J7-N7</f>
        <v>11237284.800000001</v>
      </c>
      <c r="P7" s="174">
        <f>O6+O7</f>
        <v>-54325275.200000003</v>
      </c>
      <c r="Q7" s="179" t="s">
        <v>24</v>
      </c>
      <c r="R7" s="180"/>
      <c r="S7" s="12">
        <f>U7</f>
        <v>4380000</v>
      </c>
      <c r="T7" s="13" t="s">
        <v>25</v>
      </c>
      <c r="U7" s="14">
        <f>U5*365</f>
        <v>4380000</v>
      </c>
      <c r="W7" s="106" t="s">
        <v>26</v>
      </c>
      <c r="X7" s="107">
        <v>2000000</v>
      </c>
    </row>
    <row r="8" spans="1:28" ht="25.5">
      <c r="A8" s="27">
        <v>2</v>
      </c>
      <c r="B8" s="28">
        <v>3.5000000000000001E-3</v>
      </c>
      <c r="C8" s="29">
        <f t="shared" ref="C8:C31" si="4">C7*(1-B8)</f>
        <v>2937183.75</v>
      </c>
      <c r="D8" s="30">
        <f>D7*(1-B8)</f>
        <v>4288288.2750000004</v>
      </c>
      <c r="E8" s="19">
        <f t="shared" si="0"/>
        <v>2843193.87</v>
      </c>
      <c r="F8" s="20">
        <f t="shared" ref="F8:F31" si="5">D8*$S$20*$S$21/365</f>
        <v>1156075.5240000002</v>
      </c>
      <c r="G8" s="18">
        <f t="shared" si="1"/>
        <v>3999269.3940000003</v>
      </c>
      <c r="H8" s="31">
        <v>4</v>
      </c>
      <c r="I8" s="31">
        <v>0</v>
      </c>
      <c r="J8" s="32">
        <f t="shared" si="2"/>
        <v>15997077.576000001</v>
      </c>
      <c r="K8" s="32">
        <f t="shared" ref="K8:K31" si="6">(E8*H8)</f>
        <v>11372775.48</v>
      </c>
      <c r="L8" s="32">
        <v>0</v>
      </c>
      <c r="M8" s="32">
        <v>0</v>
      </c>
      <c r="N8" s="32">
        <f t="shared" si="3"/>
        <v>4799123.2728000004</v>
      </c>
      <c r="O8" s="166">
        <f t="shared" ref="O8:O23" si="7">J8-N8</f>
        <v>11197954.303200001</v>
      </c>
      <c r="P8" s="174">
        <f>P7+O8</f>
        <v>-43127320.896800004</v>
      </c>
      <c r="Q8" s="34" t="s">
        <v>76</v>
      </c>
      <c r="R8" s="35">
        <f>SUM(J6:J12)</f>
        <v>111819910.37987015</v>
      </c>
      <c r="S8" s="25"/>
      <c r="T8" s="13"/>
      <c r="W8" s="106" t="s">
        <v>28</v>
      </c>
      <c r="X8" s="107">
        <f>X6+X7</f>
        <v>77000000</v>
      </c>
    </row>
    <row r="9" spans="1:28" ht="25.5">
      <c r="A9" s="27">
        <v>3</v>
      </c>
      <c r="B9" s="28">
        <v>3.5000000000000001E-3</v>
      </c>
      <c r="C9" s="29">
        <f t="shared" si="4"/>
        <v>2926903.6068750001</v>
      </c>
      <c r="D9" s="30">
        <f t="shared" ref="D9:D31" si="8">D8*(1-B9)</f>
        <v>4273279.2660375005</v>
      </c>
      <c r="E9" s="19">
        <f t="shared" si="0"/>
        <v>2833242.6914550005</v>
      </c>
      <c r="F9" s="20">
        <f t="shared" si="5"/>
        <v>1152029.2596660003</v>
      </c>
      <c r="G9" s="18">
        <f t="shared" si="1"/>
        <v>3985271.9511210006</v>
      </c>
      <c r="H9" s="31">
        <v>4</v>
      </c>
      <c r="I9" s="31">
        <v>0</v>
      </c>
      <c r="J9" s="32">
        <f t="shared" si="2"/>
        <v>15941087.804484002</v>
      </c>
      <c r="K9" s="32">
        <f t="shared" si="6"/>
        <v>11332970.765820002</v>
      </c>
      <c r="L9" s="32">
        <v>0</v>
      </c>
      <c r="M9" s="32">
        <v>0</v>
      </c>
      <c r="N9" s="32">
        <f t="shared" si="3"/>
        <v>4782326.3413452003</v>
      </c>
      <c r="O9" s="166">
        <f t="shared" si="7"/>
        <v>11158761.463138802</v>
      </c>
      <c r="P9" s="174">
        <f t="shared" ref="P9:P12" si="9">P8+O9</f>
        <v>-31968559.4336612</v>
      </c>
      <c r="Q9" s="169" t="s">
        <v>77</v>
      </c>
      <c r="R9" s="37">
        <f>SUM(N7:N12)</f>
        <v>28644213.113961041</v>
      </c>
      <c r="S9" s="38">
        <v>0</v>
      </c>
      <c r="T9" s="39">
        <f>R8-R9</f>
        <v>83175697.265909106</v>
      </c>
      <c r="W9" s="4" t="s">
        <v>27</v>
      </c>
      <c r="X9" s="5">
        <f>X8/O12</f>
        <v>6.9733718159468019</v>
      </c>
      <c r="Y9" s="5" t="s">
        <v>62</v>
      </c>
    </row>
    <row r="10" spans="1:28" ht="25.5">
      <c r="A10" s="27">
        <v>4</v>
      </c>
      <c r="B10" s="28">
        <v>3.5000000000000001E-3</v>
      </c>
      <c r="C10" s="29">
        <f t="shared" si="4"/>
        <v>2916659.4442509376</v>
      </c>
      <c r="D10" s="30">
        <f t="shared" si="8"/>
        <v>4258322.7886063699</v>
      </c>
      <c r="E10" s="19">
        <f t="shared" si="0"/>
        <v>2823326.342034908</v>
      </c>
      <c r="F10" s="20">
        <f t="shared" si="5"/>
        <v>1147997.1572571695</v>
      </c>
      <c r="G10" s="18">
        <f t="shared" si="1"/>
        <v>3971323.4992920775</v>
      </c>
      <c r="H10" s="31">
        <v>4</v>
      </c>
      <c r="I10" s="31">
        <v>0</v>
      </c>
      <c r="J10" s="32">
        <f t="shared" si="2"/>
        <v>15885293.99716831</v>
      </c>
      <c r="K10" s="32">
        <f t="shared" si="6"/>
        <v>11293305.368139632</v>
      </c>
      <c r="L10" s="32">
        <v>0</v>
      </c>
      <c r="M10" s="32">
        <v>0</v>
      </c>
      <c r="N10" s="32">
        <f t="shared" si="3"/>
        <v>4765588.1991504924</v>
      </c>
      <c r="O10" s="166">
        <f t="shared" si="7"/>
        <v>11119705.798017818</v>
      </c>
      <c r="P10" s="174">
        <f t="shared" si="9"/>
        <v>-20848853.635643382</v>
      </c>
      <c r="Q10" s="40"/>
      <c r="R10" s="25"/>
      <c r="S10" s="41">
        <f>S9/10/12</f>
        <v>0</v>
      </c>
      <c r="T10" s="39">
        <f>T9-X8</f>
        <v>6175697.2659091055</v>
      </c>
      <c r="V10" s="14" t="s">
        <v>0</v>
      </c>
      <c r="W10" s="4" t="s">
        <v>31</v>
      </c>
      <c r="X10" s="5">
        <f>SUM(J7:J15)</f>
        <v>142473097.12373653</v>
      </c>
    </row>
    <row r="11" spans="1:28" ht="25.5">
      <c r="A11" s="27">
        <v>5</v>
      </c>
      <c r="B11" s="28">
        <v>3.5000000000000001E-3</v>
      </c>
      <c r="C11" s="29">
        <f t="shared" si="4"/>
        <v>2906451.1361960596</v>
      </c>
      <c r="D11" s="30">
        <f t="shared" si="8"/>
        <v>4243418.6588462479</v>
      </c>
      <c r="E11" s="19">
        <f t="shared" si="0"/>
        <v>2813444.6998377861</v>
      </c>
      <c r="F11" s="20">
        <f t="shared" si="5"/>
        <v>1143979.1672067693</v>
      </c>
      <c r="G11" s="18">
        <f t="shared" si="1"/>
        <v>3957423.8670445555</v>
      </c>
      <c r="H11" s="31">
        <v>4</v>
      </c>
      <c r="I11" s="31">
        <v>0</v>
      </c>
      <c r="J11" s="32">
        <f t="shared" si="2"/>
        <v>15829695.468178222</v>
      </c>
      <c r="K11" s="32">
        <f t="shared" si="6"/>
        <v>11253778.799351145</v>
      </c>
      <c r="L11" s="32">
        <v>0</v>
      </c>
      <c r="M11" s="32">
        <v>0</v>
      </c>
      <c r="N11" s="32">
        <f t="shared" si="3"/>
        <v>4748908.6404534662</v>
      </c>
      <c r="O11" s="166">
        <f t="shared" si="7"/>
        <v>11080786.827724755</v>
      </c>
      <c r="P11" s="174">
        <f t="shared" si="9"/>
        <v>-9768066.8079186268</v>
      </c>
      <c r="Q11" s="179" t="s">
        <v>32</v>
      </c>
      <c r="R11" s="180"/>
      <c r="S11" s="12">
        <f>[1]asm!C22</f>
        <v>10</v>
      </c>
      <c r="T11" s="13" t="s">
        <v>33</v>
      </c>
      <c r="V11" s="14">
        <v>9.1</v>
      </c>
      <c r="W11" s="4" t="s">
        <v>34</v>
      </c>
      <c r="X11" s="5">
        <f>SUM(N7:N15)</f>
        <v>42741929.137120962</v>
      </c>
      <c r="Y11" s="42">
        <f>X11/V11</f>
        <v>4696915.2897935128</v>
      </c>
    </row>
    <row r="12" spans="1:28" ht="25.5">
      <c r="A12" s="27">
        <v>6</v>
      </c>
      <c r="B12" s="28">
        <v>3.5000000000000001E-3</v>
      </c>
      <c r="C12" s="29">
        <f t="shared" si="4"/>
        <v>2896278.5572193735</v>
      </c>
      <c r="D12" s="30">
        <f t="shared" si="8"/>
        <v>4228566.6935402863</v>
      </c>
      <c r="E12" s="19">
        <f t="shared" si="0"/>
        <v>2803597.6433883542</v>
      </c>
      <c r="F12" s="20">
        <f t="shared" si="5"/>
        <v>1139975.2401215457</v>
      </c>
      <c r="G12" s="18">
        <f t="shared" si="1"/>
        <v>3943572.8835099</v>
      </c>
      <c r="H12" s="31">
        <v>4</v>
      </c>
      <c r="I12" s="31">
        <v>0</v>
      </c>
      <c r="J12" s="32">
        <f t="shared" si="2"/>
        <v>15774291.5340396</v>
      </c>
      <c r="K12" s="32">
        <f t="shared" si="6"/>
        <v>11214390.573553417</v>
      </c>
      <c r="L12" s="32">
        <v>0</v>
      </c>
      <c r="M12" s="32">
        <v>0</v>
      </c>
      <c r="N12" s="32">
        <f t="shared" si="3"/>
        <v>4732287.4602118796</v>
      </c>
      <c r="O12" s="166">
        <f t="shared" si="7"/>
        <v>11042004.073827721</v>
      </c>
      <c r="P12" s="174">
        <f t="shared" si="9"/>
        <v>1273937.2659090944</v>
      </c>
      <c r="Q12" s="196" t="s">
        <v>35</v>
      </c>
      <c r="R12" s="197"/>
      <c r="S12" s="43">
        <f>S11*100/365</f>
        <v>2.7397260273972601</v>
      </c>
      <c r="T12" s="13"/>
      <c r="W12" s="4" t="s">
        <v>36</v>
      </c>
      <c r="X12" s="5">
        <f>X11*30%</f>
        <v>12822578.741136288</v>
      </c>
      <c r="Y12" s="5">
        <f>X12/V11</f>
        <v>1409074.5869380536</v>
      </c>
      <c r="Z12" s="5">
        <f>Y12/12</f>
        <v>117422.88224483781</v>
      </c>
      <c r="AA12" s="3">
        <f>Y12*100/Y11</f>
        <v>29.999999999999996</v>
      </c>
    </row>
    <row r="13" spans="1:28">
      <c r="A13" s="15">
        <v>7</v>
      </c>
      <c r="B13" s="28">
        <v>3.5000000000000001E-3</v>
      </c>
      <c r="C13" s="29">
        <f t="shared" si="4"/>
        <v>2886141.5822691061</v>
      </c>
      <c r="D13" s="30">
        <f t="shared" si="8"/>
        <v>4213766.7101128958</v>
      </c>
      <c r="E13" s="19">
        <f t="shared" si="0"/>
        <v>2793785.0516364952</v>
      </c>
      <c r="F13" s="20">
        <f t="shared" si="5"/>
        <v>1135985.3267811206</v>
      </c>
      <c r="G13" s="18">
        <f t="shared" si="1"/>
        <v>3929770.3784176158</v>
      </c>
      <c r="H13" s="31">
        <v>4</v>
      </c>
      <c r="I13" s="31">
        <v>0</v>
      </c>
      <c r="J13" s="32">
        <f t="shared" si="2"/>
        <v>15719081.513670463</v>
      </c>
      <c r="K13" s="32">
        <f t="shared" si="6"/>
        <v>11175140.206545981</v>
      </c>
      <c r="L13" s="32">
        <v>0</v>
      </c>
      <c r="M13" s="32">
        <v>0</v>
      </c>
      <c r="N13" s="32">
        <f t="shared" si="3"/>
        <v>4715724.4541011387</v>
      </c>
      <c r="O13" s="32">
        <f t="shared" si="7"/>
        <v>11003357.059569325</v>
      </c>
      <c r="P13" s="174"/>
      <c r="Q13" s="40"/>
      <c r="R13" s="35">
        <f>SUM(O7:O15)</f>
        <v>99731167.986615583</v>
      </c>
      <c r="S13" s="45">
        <f>O12/12*9</f>
        <v>8281503.0553707909</v>
      </c>
      <c r="T13" s="46">
        <f>SUM(R13:S13)</f>
        <v>108012671.04198638</v>
      </c>
      <c r="W13" s="4" t="s">
        <v>37</v>
      </c>
      <c r="X13" s="5">
        <f>X11*40%</f>
        <v>17096771.654848386</v>
      </c>
      <c r="Y13" s="5">
        <f>X13/V11</f>
        <v>1878766.1159174051</v>
      </c>
      <c r="Z13" s="5">
        <f>Y13/10</f>
        <v>187876.61159174051</v>
      </c>
      <c r="AA13" s="3">
        <f>Y13*100/Y11</f>
        <v>40</v>
      </c>
    </row>
    <row r="14" spans="1:28">
      <c r="A14" s="15">
        <v>8</v>
      </c>
      <c r="B14" s="28">
        <v>3.5000000000000001E-3</v>
      </c>
      <c r="C14" s="29">
        <f t="shared" si="4"/>
        <v>2876040.0867311643</v>
      </c>
      <c r="D14" s="30">
        <f t="shared" si="8"/>
        <v>4199018.5266275005</v>
      </c>
      <c r="E14" s="19">
        <f t="shared" si="0"/>
        <v>2784006.8039557678</v>
      </c>
      <c r="F14" s="20">
        <f t="shared" si="5"/>
        <v>1132009.3781373864</v>
      </c>
      <c r="G14" s="18">
        <f t="shared" si="1"/>
        <v>3916016.1820931542</v>
      </c>
      <c r="H14" s="31">
        <v>4</v>
      </c>
      <c r="I14" s="31">
        <v>0</v>
      </c>
      <c r="J14" s="32">
        <f t="shared" si="2"/>
        <v>15664064.728372617</v>
      </c>
      <c r="K14" s="32">
        <f t="shared" si="6"/>
        <v>11136027.215823071</v>
      </c>
      <c r="L14" s="32">
        <v>0</v>
      </c>
      <c r="M14" s="32">
        <v>0</v>
      </c>
      <c r="N14" s="32">
        <f t="shared" si="3"/>
        <v>4699219.4185117846</v>
      </c>
      <c r="O14" s="32">
        <f t="shared" si="7"/>
        <v>10964845.309860833</v>
      </c>
      <c r="P14" s="174"/>
      <c r="Q14" s="179" t="s">
        <v>38</v>
      </c>
      <c r="R14" s="180"/>
      <c r="S14" s="12">
        <f>S7</f>
        <v>4380000</v>
      </c>
      <c r="T14" s="13" t="s">
        <v>25</v>
      </c>
      <c r="W14" s="4" t="s">
        <v>39</v>
      </c>
      <c r="X14" s="5">
        <f>X11*20%</f>
        <v>8548385.8274241928</v>
      </c>
      <c r="Y14" s="5">
        <f>X14/V11</f>
        <v>939383.05795870256</v>
      </c>
      <c r="Z14" s="5">
        <f>Y14/12</f>
        <v>78281.921496558542</v>
      </c>
      <c r="AA14" s="3">
        <f>Y14*100/Y11</f>
        <v>20</v>
      </c>
    </row>
    <row r="15" spans="1:28">
      <c r="A15" s="15">
        <v>9</v>
      </c>
      <c r="B15" s="28">
        <v>3.5000000000000001E-3</v>
      </c>
      <c r="C15" s="29">
        <f t="shared" si="4"/>
        <v>2865973.9464276051</v>
      </c>
      <c r="D15" s="30">
        <f t="shared" si="8"/>
        <v>4184321.9617843046</v>
      </c>
      <c r="E15" s="19">
        <f t="shared" si="0"/>
        <v>2774262.7801419226</v>
      </c>
      <c r="F15" s="20">
        <f t="shared" si="5"/>
        <v>1128047.3453139057</v>
      </c>
      <c r="G15" s="18">
        <f t="shared" si="1"/>
        <v>3902310.1254558284</v>
      </c>
      <c r="H15" s="31">
        <v>4</v>
      </c>
      <c r="I15" s="31">
        <v>0</v>
      </c>
      <c r="J15" s="32">
        <f t="shared" si="2"/>
        <v>15609240.501823314</v>
      </c>
      <c r="K15" s="32">
        <f t="shared" si="6"/>
        <v>11097051.120567691</v>
      </c>
      <c r="L15" s="32">
        <v>0</v>
      </c>
      <c r="M15" s="32">
        <v>0</v>
      </c>
      <c r="N15" s="32">
        <f t="shared" si="3"/>
        <v>4682772.1505469941</v>
      </c>
      <c r="O15" s="32">
        <f t="shared" si="7"/>
        <v>10926468.351276319</v>
      </c>
      <c r="P15" s="174"/>
      <c r="Q15" s="40"/>
      <c r="R15" s="25"/>
      <c r="S15" s="47"/>
      <c r="T15" s="13"/>
      <c r="W15" s="4" t="s">
        <v>40</v>
      </c>
      <c r="X15" s="5">
        <f>X11-X12-X13-X14</f>
        <v>4274192.9137120936</v>
      </c>
      <c r="Y15" s="5">
        <f>X15/V11</f>
        <v>469691.52897935099</v>
      </c>
      <c r="Z15" s="5">
        <f>Y15/12</f>
        <v>39140.960748279249</v>
      </c>
      <c r="AA15" s="3">
        <f>100-AA12-AA13-AA14</f>
        <v>10</v>
      </c>
    </row>
    <row r="16" spans="1:28">
      <c r="A16" s="15">
        <v>10</v>
      </c>
      <c r="B16" s="28">
        <v>3.5000000000000001E-3</v>
      </c>
      <c r="C16" s="29">
        <f t="shared" si="4"/>
        <v>2855943.0376151088</v>
      </c>
      <c r="D16" s="30">
        <f t="shared" si="8"/>
        <v>4169676.8349180599</v>
      </c>
      <c r="E16" s="19">
        <f t="shared" si="0"/>
        <v>2764552.8604114261</v>
      </c>
      <c r="F16" s="20">
        <f t="shared" si="5"/>
        <v>1124099.1796053071</v>
      </c>
      <c r="G16" s="18">
        <f t="shared" si="1"/>
        <v>3888652.0400167331</v>
      </c>
      <c r="H16" s="31">
        <v>4</v>
      </c>
      <c r="I16" s="31">
        <v>0</v>
      </c>
      <c r="J16" s="32">
        <f t="shared" si="2"/>
        <v>15554608.160066932</v>
      </c>
      <c r="K16" s="32">
        <f t="shared" si="6"/>
        <v>11058211.441645704</v>
      </c>
      <c r="L16" s="32">
        <v>0</v>
      </c>
      <c r="M16" s="32">
        <v>0</v>
      </c>
      <c r="N16" s="32">
        <f t="shared" si="3"/>
        <v>4666382.4480200792</v>
      </c>
      <c r="O16" s="178">
        <f t="shared" si="7"/>
        <v>10888225.712046854</v>
      </c>
      <c r="P16" s="176"/>
      <c r="Q16" s="179" t="s">
        <v>41</v>
      </c>
      <c r="R16" s="180"/>
      <c r="S16" s="48">
        <v>0.4</v>
      </c>
      <c r="T16" s="13"/>
      <c r="W16" s="49"/>
      <c r="X16" s="97" t="s">
        <v>34</v>
      </c>
      <c r="Y16" s="97" t="s">
        <v>66</v>
      </c>
      <c r="Z16" s="97" t="s">
        <v>67</v>
      </c>
      <c r="AA16" s="50"/>
      <c r="AB16" s="4"/>
    </row>
    <row r="17" spans="1:28">
      <c r="A17" s="15">
        <v>11</v>
      </c>
      <c r="B17" s="28">
        <v>3.5000000000000001E-3</v>
      </c>
      <c r="C17" s="29">
        <f t="shared" si="4"/>
        <v>2845947.2369834562</v>
      </c>
      <c r="D17" s="30">
        <f t="shared" si="8"/>
        <v>4155082.9659958468</v>
      </c>
      <c r="E17" s="19">
        <f t="shared" si="0"/>
        <v>2754876.9253999861</v>
      </c>
      <c r="F17" s="20">
        <f>D17*$S$20*$S$21/365</f>
        <v>1120164.8324766885</v>
      </c>
      <c r="G17" s="18">
        <f t="shared" si="1"/>
        <v>3875041.7578766746</v>
      </c>
      <c r="H17" s="31">
        <v>4</v>
      </c>
      <c r="I17" s="31">
        <v>0</v>
      </c>
      <c r="J17" s="32">
        <f t="shared" si="2"/>
        <v>15500167.031506699</v>
      </c>
      <c r="K17" s="32">
        <f t="shared" si="6"/>
        <v>11019507.701599944</v>
      </c>
      <c r="L17" s="32">
        <v>0</v>
      </c>
      <c r="M17" s="32">
        <v>0</v>
      </c>
      <c r="N17" s="32">
        <f t="shared" si="3"/>
        <v>4650050.1094520092</v>
      </c>
      <c r="O17" s="178">
        <f t="shared" si="7"/>
        <v>10850116.922054689</v>
      </c>
      <c r="P17" s="176"/>
      <c r="Q17" s="40"/>
      <c r="R17" s="25"/>
      <c r="S17" s="47"/>
      <c r="T17" s="25"/>
      <c r="V17" s="51"/>
      <c r="W17" s="4" t="s">
        <v>64</v>
      </c>
      <c r="X17" s="5">
        <f>SUM(J7:J21)</f>
        <v>234987930.04517329</v>
      </c>
      <c r="Y17" s="5">
        <f>X17-X8</f>
        <v>157987930.04517329</v>
      </c>
      <c r="Z17" s="5">
        <f>Y17*100/X8</f>
        <v>205.17912992879647</v>
      </c>
      <c r="AA17" s="5"/>
      <c r="AB17" s="53"/>
    </row>
    <row r="18" spans="1:28">
      <c r="A18" s="15">
        <v>12</v>
      </c>
      <c r="B18" s="28">
        <v>3.5000000000000001E-3</v>
      </c>
      <c r="C18" s="29">
        <f t="shared" si="4"/>
        <v>2835986.4216540144</v>
      </c>
      <c r="D18" s="30">
        <f t="shared" si="8"/>
        <v>4140540.1756148613</v>
      </c>
      <c r="E18" s="19">
        <f t="shared" si="0"/>
        <v>2745234.8561610864</v>
      </c>
      <c r="F18" s="20">
        <f t="shared" si="5"/>
        <v>1116244.2555630202</v>
      </c>
      <c r="G18" s="18">
        <f t="shared" si="1"/>
        <v>3861479.1117241066</v>
      </c>
      <c r="H18" s="31">
        <v>4</v>
      </c>
      <c r="I18" s="31">
        <v>0</v>
      </c>
      <c r="J18" s="32">
        <f t="shared" si="2"/>
        <v>15445916.446896426</v>
      </c>
      <c r="K18" s="32">
        <f t="shared" si="6"/>
        <v>10980939.424644345</v>
      </c>
      <c r="L18" s="32">
        <v>0</v>
      </c>
      <c r="M18" s="32">
        <v>0</v>
      </c>
      <c r="N18" s="32">
        <f t="shared" si="3"/>
        <v>4633774.9340689275</v>
      </c>
      <c r="O18" s="178">
        <f t="shared" si="7"/>
        <v>10812141.512827499</v>
      </c>
      <c r="P18" s="176"/>
      <c r="Q18" s="40"/>
      <c r="R18" s="25"/>
      <c r="S18" s="25"/>
      <c r="T18" s="25"/>
      <c r="W18" s="4" t="s">
        <v>65</v>
      </c>
      <c r="X18" s="5">
        <f>J32</f>
        <v>401258593.23512584</v>
      </c>
      <c r="Y18" s="5">
        <f>X18-X8</f>
        <v>324258593.23512584</v>
      </c>
      <c r="Z18" s="5">
        <f>Y18*100/X8</f>
        <v>421.11505614951409</v>
      </c>
      <c r="AA18" s="5"/>
    </row>
    <row r="19" spans="1:28">
      <c r="A19" s="15">
        <v>13</v>
      </c>
      <c r="B19" s="28">
        <v>3.5000000000000001E-3</v>
      </c>
      <c r="C19" s="29">
        <f t="shared" si="4"/>
        <v>2826060.4691782254</v>
      </c>
      <c r="D19" s="30">
        <f t="shared" si="8"/>
        <v>4126048.2850002097</v>
      </c>
      <c r="E19" s="19">
        <f t="shared" si="0"/>
        <v>2735626.5341645223</v>
      </c>
      <c r="F19" s="20">
        <f t="shared" si="5"/>
        <v>1112337.4006685498</v>
      </c>
      <c r="G19" s="18">
        <f t="shared" si="1"/>
        <v>3847963.9348330721</v>
      </c>
      <c r="H19" s="31">
        <v>4</v>
      </c>
      <c r="I19" s="31">
        <v>0</v>
      </c>
      <c r="J19" s="32">
        <f t="shared" si="2"/>
        <v>15391855.739332289</v>
      </c>
      <c r="K19" s="32">
        <f t="shared" si="6"/>
        <v>10942506.136658089</v>
      </c>
      <c r="L19" s="32">
        <v>0</v>
      </c>
      <c r="M19" s="32">
        <v>0</v>
      </c>
      <c r="N19" s="32">
        <f t="shared" si="3"/>
        <v>4617556.7217996866</v>
      </c>
      <c r="O19" s="178">
        <f t="shared" si="7"/>
        <v>10774299.017532602</v>
      </c>
      <c r="P19" s="176"/>
      <c r="Q19" s="179" t="s">
        <v>43</v>
      </c>
      <c r="R19" s="180"/>
      <c r="S19" s="54">
        <f>[1]asm!C24</f>
        <v>242</v>
      </c>
      <c r="T19" s="13" t="s">
        <v>33</v>
      </c>
      <c r="U19" s="55"/>
      <c r="X19" s="5">
        <f>X18-X17</f>
        <v>166270663.18995255</v>
      </c>
      <c r="Y19" s="5">
        <f>Y18-Y17</f>
        <v>166270663.18995255</v>
      </c>
      <c r="Z19" s="5">
        <f>Z18-Z17</f>
        <v>215.93592622071762</v>
      </c>
      <c r="AA19" s="5"/>
    </row>
    <row r="20" spans="1:28">
      <c r="A20" s="15">
        <v>14</v>
      </c>
      <c r="B20" s="28">
        <v>3.5000000000000001E-3</v>
      </c>
      <c r="C20" s="29">
        <f t="shared" si="4"/>
        <v>2816169.2575361016</v>
      </c>
      <c r="D20" s="30">
        <f t="shared" si="8"/>
        <v>4111607.1160027091</v>
      </c>
      <c r="E20" s="19">
        <f t="shared" si="0"/>
        <v>2726051.8412949466</v>
      </c>
      <c r="F20" s="20">
        <f t="shared" si="5"/>
        <v>1108444.2197662098</v>
      </c>
      <c r="G20" s="18">
        <f t="shared" si="1"/>
        <v>3834496.0610611564</v>
      </c>
      <c r="H20" s="31">
        <v>4</v>
      </c>
      <c r="I20" s="31">
        <v>0</v>
      </c>
      <c r="J20" s="32">
        <f t="shared" si="2"/>
        <v>15337984.244244626</v>
      </c>
      <c r="K20" s="32">
        <f t="shared" si="6"/>
        <v>10904207.365179786</v>
      </c>
      <c r="L20" s="32">
        <v>0</v>
      </c>
      <c r="M20" s="32">
        <v>0</v>
      </c>
      <c r="N20" s="32">
        <f t="shared" si="3"/>
        <v>4601395.2732733879</v>
      </c>
      <c r="O20" s="178">
        <f t="shared" si="7"/>
        <v>10736588.970971238</v>
      </c>
      <c r="P20" s="176"/>
      <c r="Q20" s="179" t="s">
        <v>44</v>
      </c>
      <c r="R20" s="180"/>
      <c r="S20" s="56">
        <f>365-S19</f>
        <v>123</v>
      </c>
      <c r="T20" s="13" t="s">
        <v>33</v>
      </c>
      <c r="U20" s="55"/>
      <c r="AA20" s="5"/>
    </row>
    <row r="21" spans="1:28">
      <c r="A21" s="15">
        <v>15</v>
      </c>
      <c r="B21" s="28">
        <v>3.5000000000000001E-3</v>
      </c>
      <c r="C21" s="29">
        <f t="shared" si="4"/>
        <v>2806312.6651347256</v>
      </c>
      <c r="D21" s="30">
        <f t="shared" si="8"/>
        <v>4097216.4910967001</v>
      </c>
      <c r="E21" s="19">
        <f t="shared" si="0"/>
        <v>2716510.6598504148</v>
      </c>
      <c r="F21" s="20">
        <f t="shared" si="5"/>
        <v>1104564.6649970284</v>
      </c>
      <c r="G21" s="18">
        <f t="shared" si="1"/>
        <v>3821075.324847443</v>
      </c>
      <c r="H21" s="31">
        <v>4</v>
      </c>
      <c r="I21" s="31">
        <v>0</v>
      </c>
      <c r="J21" s="32">
        <f t="shared" si="2"/>
        <v>15284301.299389772</v>
      </c>
      <c r="K21" s="32">
        <f t="shared" si="6"/>
        <v>10866042.639401659</v>
      </c>
      <c r="L21" s="32">
        <v>0</v>
      </c>
      <c r="M21" s="32">
        <v>0</v>
      </c>
      <c r="N21" s="32">
        <f t="shared" si="3"/>
        <v>4585290.3898169314</v>
      </c>
      <c r="O21" s="178">
        <f t="shared" si="7"/>
        <v>10699010.90957284</v>
      </c>
      <c r="P21" s="176"/>
      <c r="Q21" s="179" t="s">
        <v>45</v>
      </c>
      <c r="R21" s="180"/>
      <c r="S21" s="57">
        <v>0.8</v>
      </c>
      <c r="T21" s="25"/>
    </row>
    <row r="22" spans="1:28">
      <c r="A22" s="15">
        <v>16</v>
      </c>
      <c r="B22" s="28">
        <v>3.5000000000000001E-3</v>
      </c>
      <c r="C22" s="29">
        <f t="shared" si="4"/>
        <v>2796490.5708067543</v>
      </c>
      <c r="D22" s="30">
        <f t="shared" si="8"/>
        <v>4082876.2333778618</v>
      </c>
      <c r="E22" s="19">
        <f t="shared" si="0"/>
        <v>2707002.8725409382</v>
      </c>
      <c r="F22" s="20">
        <f t="shared" si="5"/>
        <v>1100698.6886695386</v>
      </c>
      <c r="G22" s="18">
        <f t="shared" si="1"/>
        <v>3807701.5612104768</v>
      </c>
      <c r="H22" s="31">
        <v>4</v>
      </c>
      <c r="I22" s="31">
        <v>0</v>
      </c>
      <c r="J22" s="32">
        <f t="shared" si="2"/>
        <v>15230806.244841907</v>
      </c>
      <c r="K22" s="32">
        <f t="shared" si="6"/>
        <v>10828011.490163753</v>
      </c>
      <c r="L22" s="32">
        <v>0</v>
      </c>
      <c r="M22" s="32">
        <v>0</v>
      </c>
      <c r="N22" s="32">
        <f t="shared" si="3"/>
        <v>4569241.8734525722</v>
      </c>
      <c r="O22" s="178">
        <f t="shared" si="7"/>
        <v>10661564.371389335</v>
      </c>
      <c r="P22" s="176"/>
      <c r="Q22" s="40"/>
      <c r="R22" s="25"/>
      <c r="S22" s="25"/>
      <c r="T22" s="25"/>
      <c r="W22" s="58"/>
      <c r="AA22" s="59"/>
      <c r="AB22" s="59"/>
    </row>
    <row r="23" spans="1:28">
      <c r="A23" s="15">
        <v>17</v>
      </c>
      <c r="B23" s="28">
        <v>3.5000000000000001E-3</v>
      </c>
      <c r="C23" s="29">
        <f t="shared" si="4"/>
        <v>2786702.8538089306</v>
      </c>
      <c r="D23" s="30">
        <f t="shared" si="8"/>
        <v>4068586.1665610396</v>
      </c>
      <c r="E23" s="19">
        <f t="shared" si="0"/>
        <v>2697528.3624870456</v>
      </c>
      <c r="F23" s="20">
        <f t="shared" si="5"/>
        <v>1096846.2432591955</v>
      </c>
      <c r="G23" s="18">
        <f t="shared" si="1"/>
        <v>3794374.6057462413</v>
      </c>
      <c r="H23" s="31">
        <v>4</v>
      </c>
      <c r="I23" s="31">
        <v>0</v>
      </c>
      <c r="J23" s="32">
        <f t="shared" si="2"/>
        <v>15177498.422984965</v>
      </c>
      <c r="K23" s="32">
        <f t="shared" si="6"/>
        <v>10790113.449948182</v>
      </c>
      <c r="L23" s="32">
        <v>0</v>
      </c>
      <c r="M23" s="32">
        <v>0</v>
      </c>
      <c r="N23" s="32">
        <f t="shared" si="3"/>
        <v>4553249.5268954895</v>
      </c>
      <c r="O23" s="178">
        <f t="shared" si="7"/>
        <v>10624248.896089476</v>
      </c>
      <c r="P23" s="176"/>
      <c r="Q23" s="179" t="s">
        <v>46</v>
      </c>
      <c r="R23" s="180"/>
      <c r="S23" s="60">
        <v>6.6</v>
      </c>
      <c r="T23" s="61"/>
      <c r="U23" s="14"/>
      <c r="W23" s="62"/>
    </row>
    <row r="24" spans="1:28">
      <c r="A24" s="15">
        <v>18</v>
      </c>
      <c r="B24" s="28">
        <v>3.5000000000000001E-3</v>
      </c>
      <c r="C24" s="29">
        <f t="shared" si="4"/>
        <v>2776949.3938205997</v>
      </c>
      <c r="D24" s="30">
        <f t="shared" si="8"/>
        <v>4054346.1149780764</v>
      </c>
      <c r="E24" s="19">
        <f t="shared" si="0"/>
        <v>2688087.0132183409</v>
      </c>
      <c r="F24" s="20">
        <f t="shared" si="5"/>
        <v>1093007.2814077884</v>
      </c>
      <c r="G24" s="18">
        <f t="shared" si="1"/>
        <v>3781094.2946261293</v>
      </c>
      <c r="H24" s="31">
        <v>4</v>
      </c>
      <c r="I24" s="31">
        <v>0</v>
      </c>
      <c r="J24" s="32">
        <f t="shared" si="2"/>
        <v>15124377.178504517</v>
      </c>
      <c r="K24" s="32">
        <f t="shared" si="6"/>
        <v>10752348.052873364</v>
      </c>
      <c r="L24" s="32">
        <v>0</v>
      </c>
      <c r="M24" s="32">
        <v>0</v>
      </c>
      <c r="N24" s="32">
        <f t="shared" si="3"/>
        <v>4537313.153551355</v>
      </c>
      <c r="O24" s="178">
        <f>J24-N24</f>
        <v>10587064.024953162</v>
      </c>
      <c r="P24" s="176"/>
      <c r="Q24" s="179" t="s">
        <v>70</v>
      </c>
      <c r="R24" s="180"/>
      <c r="S24" s="60">
        <v>4</v>
      </c>
      <c r="T24" s="61"/>
      <c r="U24" s="14"/>
    </row>
    <row r="25" spans="1:28">
      <c r="A25" s="15">
        <v>19</v>
      </c>
      <c r="B25" s="28">
        <v>3.5000000000000001E-3</v>
      </c>
      <c r="C25" s="29">
        <f t="shared" si="4"/>
        <v>2767230.0709422277</v>
      </c>
      <c r="D25" s="30">
        <f t="shared" si="8"/>
        <v>4040155.9035756532</v>
      </c>
      <c r="E25" s="19">
        <f t="shared" si="0"/>
        <v>2678678.7086720769</v>
      </c>
      <c r="F25" s="20">
        <f t="shared" si="5"/>
        <v>1089181.7559228609</v>
      </c>
      <c r="G25" s="18">
        <f t="shared" si="1"/>
        <v>3767860.4645949379</v>
      </c>
      <c r="H25" s="31">
        <v>4</v>
      </c>
      <c r="I25" s="31">
        <v>0</v>
      </c>
      <c r="J25" s="32">
        <f t="shared" si="2"/>
        <v>15071441.858379751</v>
      </c>
      <c r="K25" s="32">
        <f t="shared" si="6"/>
        <v>10714714.834688308</v>
      </c>
      <c r="L25" s="32">
        <v>0</v>
      </c>
      <c r="M25" s="32">
        <v>0</v>
      </c>
      <c r="N25" s="32">
        <f t="shared" si="3"/>
        <v>4521432.5575139252</v>
      </c>
      <c r="O25" s="178">
        <f t="shared" ref="O25:O30" si="10">J25-N25</f>
        <v>10550009.300865825</v>
      </c>
      <c r="P25" s="176"/>
      <c r="Q25" s="63" t="s">
        <v>48</v>
      </c>
      <c r="R25" s="64"/>
      <c r="S25" s="65">
        <f>X8</f>
        <v>77000000</v>
      </c>
      <c r="T25" s="61" t="s">
        <v>49</v>
      </c>
      <c r="U25" s="14"/>
    </row>
    <row r="26" spans="1:28">
      <c r="A26" s="15">
        <v>20</v>
      </c>
      <c r="B26" s="28">
        <v>3.5000000000000001E-3</v>
      </c>
      <c r="C26" s="29">
        <f t="shared" si="4"/>
        <v>2757544.76569393</v>
      </c>
      <c r="D26" s="30">
        <f t="shared" si="8"/>
        <v>4026015.3579131388</v>
      </c>
      <c r="E26" s="19">
        <f t="shared" si="0"/>
        <v>2669303.333191725</v>
      </c>
      <c r="F26" s="20">
        <f t="shared" si="5"/>
        <v>1085369.6197771314</v>
      </c>
      <c r="G26" s="18">
        <f t="shared" si="1"/>
        <v>3754672.9529688563</v>
      </c>
      <c r="H26" s="31">
        <v>4</v>
      </c>
      <c r="I26" s="31">
        <v>0</v>
      </c>
      <c r="J26" s="32">
        <f t="shared" si="2"/>
        <v>15018691.811875425</v>
      </c>
      <c r="K26" s="32">
        <f t="shared" si="6"/>
        <v>10677213.3327669</v>
      </c>
      <c r="L26" s="32">
        <v>0</v>
      </c>
      <c r="M26" s="32">
        <v>0</v>
      </c>
      <c r="N26" s="32">
        <f t="shared" si="3"/>
        <v>4505607.5435626274</v>
      </c>
      <c r="O26" s="178">
        <f t="shared" si="10"/>
        <v>10513084.268312797</v>
      </c>
      <c r="P26" s="176"/>
      <c r="Q26" s="66" t="s">
        <v>37</v>
      </c>
      <c r="R26" s="67" t="s">
        <v>50</v>
      </c>
      <c r="S26" s="68"/>
      <c r="U26" s="14"/>
    </row>
    <row r="27" spans="1:28">
      <c r="A27" s="15">
        <v>21</v>
      </c>
      <c r="B27" s="28">
        <v>3.5000000000000001E-3</v>
      </c>
      <c r="C27" s="29">
        <f t="shared" si="4"/>
        <v>2747893.3590140012</v>
      </c>
      <c r="D27" s="30">
        <f t="shared" si="8"/>
        <v>4011924.3041604431</v>
      </c>
      <c r="E27" s="19">
        <f t="shared" si="0"/>
        <v>2659960.7715255544</v>
      </c>
      <c r="F27" s="20">
        <f t="shared" si="5"/>
        <v>1081570.8261079113</v>
      </c>
      <c r="G27" s="18">
        <f t="shared" si="1"/>
        <v>3741531.5976334657</v>
      </c>
      <c r="H27" s="31">
        <v>4</v>
      </c>
      <c r="I27" s="31">
        <v>0</v>
      </c>
      <c r="J27" s="32">
        <f t="shared" si="2"/>
        <v>14966126.390533863</v>
      </c>
      <c r="K27" s="32">
        <f t="shared" si="6"/>
        <v>10639843.086102217</v>
      </c>
      <c r="L27" s="32">
        <v>0</v>
      </c>
      <c r="M27" s="32">
        <v>0</v>
      </c>
      <c r="N27" s="32">
        <f t="shared" si="3"/>
        <v>4489837.917160159</v>
      </c>
      <c r="O27" s="178">
        <f t="shared" si="10"/>
        <v>10476288.473373704</v>
      </c>
      <c r="P27" s="176"/>
      <c r="Q27" s="66"/>
      <c r="R27" s="67" t="s">
        <v>51</v>
      </c>
      <c r="S27" s="68"/>
      <c r="U27" s="14"/>
    </row>
    <row r="28" spans="1:28">
      <c r="A28" s="15">
        <v>22</v>
      </c>
      <c r="B28" s="28">
        <v>3.5000000000000001E-3</v>
      </c>
      <c r="C28" s="29">
        <f t="shared" si="4"/>
        <v>2738275.7322574523</v>
      </c>
      <c r="D28" s="30">
        <f t="shared" si="8"/>
        <v>3997882.5690958817</v>
      </c>
      <c r="E28" s="19">
        <f t="shared" si="0"/>
        <v>2650650.9088252145</v>
      </c>
      <c r="F28" s="20">
        <f t="shared" si="5"/>
        <v>1077785.3282165336</v>
      </c>
      <c r="G28" s="18">
        <f t="shared" si="1"/>
        <v>3728436.2370417481</v>
      </c>
      <c r="H28" s="31">
        <v>4</v>
      </c>
      <c r="I28" s="31">
        <v>0</v>
      </c>
      <c r="J28" s="32">
        <f t="shared" si="2"/>
        <v>14913744.948166993</v>
      </c>
      <c r="K28" s="32">
        <f t="shared" si="6"/>
        <v>10602603.635300858</v>
      </c>
      <c r="L28" s="32">
        <v>0</v>
      </c>
      <c r="M28" s="32">
        <v>0</v>
      </c>
      <c r="N28" s="32">
        <f t="shared" si="3"/>
        <v>4474123.4844500972</v>
      </c>
      <c r="O28" s="178">
        <f t="shared" si="10"/>
        <v>10439621.463716894</v>
      </c>
      <c r="P28" s="176"/>
      <c r="Q28" s="66"/>
      <c r="R28" s="67" t="s">
        <v>52</v>
      </c>
      <c r="S28" s="68"/>
      <c r="U28" s="14"/>
    </row>
    <row r="29" spans="1:28">
      <c r="A29" s="15">
        <v>23</v>
      </c>
      <c r="B29" s="28">
        <v>3.5000000000000001E-3</v>
      </c>
      <c r="C29" s="29">
        <f t="shared" si="4"/>
        <v>2728691.7671945514</v>
      </c>
      <c r="D29" s="30">
        <f t="shared" si="8"/>
        <v>3983889.9801040464</v>
      </c>
      <c r="E29" s="19">
        <f t="shared" si="0"/>
        <v>2641373.6306443266</v>
      </c>
      <c r="F29" s="20">
        <f t="shared" si="5"/>
        <v>1074013.0795677761</v>
      </c>
      <c r="G29" s="18">
        <f t="shared" si="1"/>
        <v>3715386.7102121026</v>
      </c>
      <c r="H29" s="31">
        <v>4</v>
      </c>
      <c r="I29" s="31">
        <v>0</v>
      </c>
      <c r="J29" s="32">
        <f t="shared" si="2"/>
        <v>14861546.840848411</v>
      </c>
      <c r="K29" s="32">
        <f t="shared" si="6"/>
        <v>10565494.522577306</v>
      </c>
      <c r="L29" s="32">
        <v>0</v>
      </c>
      <c r="M29" s="32">
        <v>0</v>
      </c>
      <c r="N29" s="32">
        <f t="shared" si="3"/>
        <v>4458464.0522545232</v>
      </c>
      <c r="O29" s="178">
        <f t="shared" si="10"/>
        <v>10403082.788593888</v>
      </c>
      <c r="P29" s="176"/>
      <c r="Q29" s="66"/>
      <c r="R29" s="67" t="s">
        <v>53</v>
      </c>
      <c r="S29" s="68"/>
      <c r="U29" s="14"/>
    </row>
    <row r="30" spans="1:28">
      <c r="A30" s="15">
        <v>24</v>
      </c>
      <c r="B30" s="28">
        <v>3.5000000000000001E-3</v>
      </c>
      <c r="C30" s="29">
        <f t="shared" si="4"/>
        <v>2719141.3460093704</v>
      </c>
      <c r="D30" s="30">
        <f t="shared" si="8"/>
        <v>3969946.3651736826</v>
      </c>
      <c r="E30" s="19">
        <f t="shared" si="0"/>
        <v>2632128.8229370718</v>
      </c>
      <c r="F30" s="20">
        <f t="shared" si="5"/>
        <v>1070254.0337892887</v>
      </c>
      <c r="G30" s="18">
        <f t="shared" si="1"/>
        <v>3702382.8567263605</v>
      </c>
      <c r="H30" s="31">
        <v>4</v>
      </c>
      <c r="I30" s="31">
        <v>0</v>
      </c>
      <c r="J30" s="32">
        <f t="shared" si="2"/>
        <v>14809531.426905442</v>
      </c>
      <c r="K30" s="32">
        <f t="shared" si="6"/>
        <v>10528515.291748287</v>
      </c>
      <c r="L30" s="32">
        <v>0</v>
      </c>
      <c r="M30" s="32">
        <v>0</v>
      </c>
      <c r="N30" s="32">
        <f t="shared" si="3"/>
        <v>4442859.428071632</v>
      </c>
      <c r="O30" s="178">
        <f t="shared" si="10"/>
        <v>10366671.998833809</v>
      </c>
      <c r="P30" s="176"/>
      <c r="Q30" s="66"/>
      <c r="R30" s="67" t="s">
        <v>54</v>
      </c>
      <c r="S30" s="68"/>
      <c r="U30" s="14"/>
    </row>
    <row r="31" spans="1:28">
      <c r="A31" s="15">
        <v>25</v>
      </c>
      <c r="B31" s="28">
        <v>3.5000000000000001E-3</v>
      </c>
      <c r="C31" s="29">
        <f t="shared" si="4"/>
        <v>2709624.3512983378</v>
      </c>
      <c r="D31" s="30">
        <f t="shared" si="8"/>
        <v>3956051.5528955748</v>
      </c>
      <c r="E31" s="19">
        <f t="shared" si="0"/>
        <v>2622916.372056792</v>
      </c>
      <c r="F31" s="20">
        <f t="shared" si="5"/>
        <v>1066508.1446710264</v>
      </c>
      <c r="G31" s="18">
        <f t="shared" si="1"/>
        <v>3689424.5167278182</v>
      </c>
      <c r="H31" s="31">
        <v>4</v>
      </c>
      <c r="I31" s="31">
        <v>0</v>
      </c>
      <c r="J31" s="32">
        <f t="shared" si="2"/>
        <v>14757698.066911273</v>
      </c>
      <c r="K31" s="32">
        <f t="shared" si="6"/>
        <v>10491665.488227168</v>
      </c>
      <c r="L31" s="32">
        <v>0</v>
      </c>
      <c r="M31" s="32">
        <v>0</v>
      </c>
      <c r="N31" s="32">
        <f t="shared" si="3"/>
        <v>4427309.4200733816</v>
      </c>
      <c r="O31" s="178">
        <f>J31-N31</f>
        <v>10330388.64683789</v>
      </c>
      <c r="P31" s="176"/>
      <c r="Q31" s="69"/>
      <c r="R31" s="70"/>
      <c r="U31" s="14"/>
    </row>
    <row r="32" spans="1:28">
      <c r="A32" s="15" t="s">
        <v>55</v>
      </c>
      <c r="B32" s="71">
        <f>SUM(B7:B31)</f>
        <v>0.10150000000000006</v>
      </c>
      <c r="C32" s="72">
        <f>AVERAGE(C6:C31)</f>
        <v>2833619.0541891176</v>
      </c>
      <c r="D32" s="73">
        <f>SUM(D7:D26)</f>
        <v>83264484.525589257</v>
      </c>
      <c r="E32" s="73"/>
      <c r="F32" s="73"/>
      <c r="G32" s="73"/>
      <c r="H32" s="74"/>
      <c r="I32" s="74"/>
      <c r="J32" s="32">
        <f>SUM(J6:J31)</f>
        <v>401258593.23512584</v>
      </c>
      <c r="K32" s="75">
        <f t="shared" ref="K32" si="11">SUM(K7:N31)</f>
        <v>389125915.39386451</v>
      </c>
      <c r="L32" s="75">
        <f>SUM(L7:O31)</f>
        <v>384919393.23512584</v>
      </c>
      <c r="M32" s="75">
        <f>SUM(M7:Q31)</f>
        <v>226155254.52701166</v>
      </c>
      <c r="N32" s="32">
        <f t="shared" si="3"/>
        <v>120377577.97053775</v>
      </c>
      <c r="O32" s="168">
        <f>SUM(O7:O31)</f>
        <v>269443575.26458806</v>
      </c>
      <c r="P32" s="176"/>
      <c r="Q32" s="77"/>
    </row>
    <row r="33" spans="1:21">
      <c r="A33" s="78"/>
      <c r="B33" s="79"/>
      <c r="C33" s="80"/>
      <c r="D33" s="73"/>
      <c r="E33" s="81"/>
      <c r="F33" s="81"/>
      <c r="G33" s="81"/>
      <c r="H33" s="82"/>
      <c r="I33" s="82"/>
      <c r="J33" s="77"/>
      <c r="K33" s="77"/>
      <c r="L33" s="77"/>
      <c r="M33" s="77"/>
      <c r="N33" s="89" t="s">
        <v>27</v>
      </c>
      <c r="O33" s="83">
        <v>5.75</v>
      </c>
      <c r="P33" s="176"/>
      <c r="Q33" s="77" t="s">
        <v>57</v>
      </c>
      <c r="R33" s="3">
        <f>9/12</f>
        <v>0.75</v>
      </c>
    </row>
    <row r="34" spans="1:21">
      <c r="B34" s="4"/>
      <c r="C34" s="84"/>
      <c r="D34" s="85">
        <f>D32*1.07</f>
        <v>89092998.442380518</v>
      </c>
      <c r="E34" s="86"/>
      <c r="F34" s="86"/>
      <c r="G34" s="86"/>
      <c r="H34" s="86"/>
      <c r="J34" s="87" t="s">
        <v>0</v>
      </c>
      <c r="K34" s="88">
        <f>NPV(0.1%,K7:K26)</f>
        <v>218545711.14770287</v>
      </c>
      <c r="L34" s="88"/>
      <c r="M34" s="88"/>
      <c r="N34" s="89" t="s">
        <v>58</v>
      </c>
      <c r="O34" s="89">
        <f>NPV(10%,O7:O26)</f>
        <v>93527065.440485179</v>
      </c>
      <c r="P34" s="176"/>
      <c r="Q34" s="90" t="s">
        <v>49</v>
      </c>
      <c r="S34" s="3">
        <f>(IF([1]การใช้ไฟย้อนหลัง!F23&gt;=1,1,[1]การใช้ไฟย้อนหลัง!F23))</f>
        <v>1</v>
      </c>
    </row>
    <row r="35" spans="1:21">
      <c r="B35" s="4"/>
      <c r="C35" s="91" t="s">
        <v>59</v>
      </c>
      <c r="D35" s="92">
        <f>AVERAGE(D6:D26)</f>
        <v>4173546.882170917</v>
      </c>
      <c r="E35" s="92">
        <f>D35*100/[1]การใช้ไฟย้อนหลัง!R21</f>
        <v>198.31388448397232</v>
      </c>
      <c r="F35" s="92"/>
      <c r="G35" s="92"/>
      <c r="H35" s="92"/>
      <c r="I35" s="87"/>
      <c r="N35" s="89" t="s">
        <v>60</v>
      </c>
      <c r="O35" s="93">
        <f>IRR(O6:O31,0.1)</f>
        <v>0.16440368733877975</v>
      </c>
      <c r="P35" s="177"/>
      <c r="R35" s="4"/>
    </row>
    <row r="36" spans="1:21">
      <c r="B36" s="4"/>
      <c r="C36" s="91"/>
      <c r="D36" s="92"/>
      <c r="E36" s="92"/>
      <c r="F36" s="92"/>
      <c r="G36" s="92"/>
      <c r="H36" s="92"/>
      <c r="I36" s="87"/>
      <c r="N36" s="89"/>
      <c r="O36" s="93"/>
      <c r="P36" s="177"/>
      <c r="R36" s="4"/>
    </row>
    <row r="37" spans="1:21">
      <c r="B37" s="4"/>
      <c r="C37" s="4"/>
      <c r="D37" s="52"/>
      <c r="E37" s="52"/>
      <c r="F37" s="52"/>
      <c r="G37" s="52"/>
      <c r="H37" s="52"/>
      <c r="I37" s="87"/>
      <c r="R37" s="4"/>
      <c r="U37" s="94"/>
    </row>
    <row r="38" spans="1:21">
      <c r="C38" s="4"/>
      <c r="D38" s="95"/>
      <c r="E38" s="95"/>
      <c r="F38" s="95"/>
      <c r="G38" s="95"/>
      <c r="H38" s="95"/>
      <c r="I38" s="87"/>
      <c r="R38" s="4"/>
    </row>
    <row r="39" spans="1:21">
      <c r="B39" s="94"/>
    </row>
    <row r="40" spans="1:21">
      <c r="B40" s="96"/>
      <c r="C40" s="50"/>
      <c r="D40" s="95"/>
      <c r="E40" s="95"/>
      <c r="F40" s="95"/>
      <c r="G40" s="95"/>
      <c r="H40" s="95"/>
      <c r="I40" s="87"/>
    </row>
    <row r="41" spans="1:21">
      <c r="C41" s="50"/>
      <c r="D41" s="95"/>
      <c r="E41" s="95"/>
      <c r="F41" s="95"/>
      <c r="G41" s="95"/>
      <c r="H41" s="95"/>
      <c r="I41" s="87"/>
    </row>
    <row r="45" spans="1:21">
      <c r="J45" s="3"/>
      <c r="K45" s="3"/>
    </row>
  </sheetData>
  <mergeCells count="20">
    <mergeCell ref="Q16:R16"/>
    <mergeCell ref="A2:O2"/>
    <mergeCell ref="A3:G3"/>
    <mergeCell ref="H3:J3"/>
    <mergeCell ref="L3:N4"/>
    <mergeCell ref="O3:O4"/>
    <mergeCell ref="A4:A5"/>
    <mergeCell ref="B4:B5"/>
    <mergeCell ref="C4:C5"/>
    <mergeCell ref="E4:G4"/>
    <mergeCell ref="Q5:R5"/>
    <mergeCell ref="Q7:R7"/>
    <mergeCell ref="Q11:R11"/>
    <mergeCell ref="Q12:R12"/>
    <mergeCell ref="Q14:R14"/>
    <mergeCell ref="Q19:R19"/>
    <mergeCell ref="Q20:R20"/>
    <mergeCell ref="Q21:R21"/>
    <mergeCell ref="Q23:R23"/>
    <mergeCell ref="Q24:R2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173E-7457-4BD9-8728-8E0EC5D57094}">
  <dimension ref="A1:AA45"/>
  <sheetViews>
    <sheetView tabSelected="1" workbookViewId="0">
      <selection activeCell="J16" sqref="J16"/>
    </sheetView>
  </sheetViews>
  <sheetFormatPr defaultColWidth="10.28515625" defaultRowHeight="24"/>
  <cols>
    <col min="1" max="1" width="7.140625" style="3" customWidth="1"/>
    <col min="2" max="2" width="13" style="3" customWidth="1"/>
    <col min="3" max="3" width="16.42578125" style="3" customWidth="1"/>
    <col min="4" max="4" width="19.5703125" style="3" customWidth="1"/>
    <col min="5" max="5" width="16.42578125" style="3" customWidth="1"/>
    <col min="6" max="6" width="19.28515625" style="3" customWidth="1"/>
    <col min="7" max="7" width="15.7109375" style="3" customWidth="1"/>
    <col min="8" max="8" width="12.28515625" style="3" customWidth="1"/>
    <col min="9" max="9" width="16.140625" style="3" hidden="1" customWidth="1"/>
    <col min="10" max="10" width="21.42578125" style="4" customWidth="1"/>
    <col min="11" max="11" width="25.7109375" style="4" hidden="1" customWidth="1"/>
    <col min="12" max="12" width="19.140625" style="3" hidden="1" customWidth="1"/>
    <col min="13" max="13" width="19.7109375" style="3" hidden="1" customWidth="1"/>
    <col min="14" max="14" width="20.85546875" style="3" customWidth="1"/>
    <col min="15" max="15" width="21" style="3" customWidth="1"/>
    <col min="16" max="16" width="18.42578125" style="1" customWidth="1"/>
    <col min="17" max="17" width="20.28515625" style="3" customWidth="1"/>
    <col min="18" max="18" width="25.140625" style="3" bestFit="1" customWidth="1"/>
    <col min="19" max="19" width="14.28515625" style="3" customWidth="1"/>
    <col min="20" max="20" width="19.42578125" style="3" customWidth="1"/>
    <col min="21" max="21" width="12.42578125" style="3" customWidth="1"/>
    <col min="22" max="22" width="14.28515625" style="4" customWidth="1"/>
    <col min="23" max="23" width="17.5703125" style="5" bestFit="1" customWidth="1"/>
    <col min="24" max="24" width="19.140625" style="5" customWidth="1"/>
    <col min="25" max="25" width="16.7109375" style="5" bestFit="1" customWidth="1"/>
    <col min="26" max="26" width="14.42578125" style="5" customWidth="1"/>
    <col min="27" max="28" width="10.140625" style="3" customWidth="1"/>
    <col min="29" max="29" width="12.5703125" style="3" customWidth="1"/>
    <col min="30" max="35" width="10.140625" style="3" customWidth="1"/>
    <col min="36" max="16384" width="10.28515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1"/>
      <c r="M1" s="1"/>
      <c r="N1" s="1"/>
      <c r="O1" s="1"/>
    </row>
    <row r="2" spans="1:27" ht="30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7"/>
      <c r="S2" s="8"/>
    </row>
    <row r="3" spans="1:27" ht="30">
      <c r="A3" s="182" t="s">
        <v>2</v>
      </c>
      <c r="B3" s="183"/>
      <c r="C3" s="183"/>
      <c r="D3" s="183"/>
      <c r="E3" s="183"/>
      <c r="F3" s="183"/>
      <c r="G3" s="184"/>
      <c r="H3" s="182" t="s">
        <v>3</v>
      </c>
      <c r="I3" s="183"/>
      <c r="J3" s="184"/>
      <c r="K3" s="6"/>
      <c r="L3" s="185" t="s">
        <v>63</v>
      </c>
      <c r="M3" s="186"/>
      <c r="N3" s="187"/>
      <c r="O3" s="191" t="s">
        <v>5</v>
      </c>
      <c r="P3" s="7"/>
      <c r="S3" s="8"/>
    </row>
    <row r="4" spans="1:27" ht="72">
      <c r="A4" s="193" t="s">
        <v>6</v>
      </c>
      <c r="B4" s="195" t="s">
        <v>7</v>
      </c>
      <c r="C4" s="195" t="s">
        <v>8</v>
      </c>
      <c r="D4" s="10" t="s">
        <v>9</v>
      </c>
      <c r="E4" s="195" t="s">
        <v>10</v>
      </c>
      <c r="F4" s="195"/>
      <c r="G4" s="195"/>
      <c r="H4" s="9" t="s">
        <v>11</v>
      </c>
      <c r="I4" s="9" t="s">
        <v>12</v>
      </c>
      <c r="J4" s="9" t="s">
        <v>13</v>
      </c>
      <c r="K4" s="9"/>
      <c r="L4" s="188"/>
      <c r="M4" s="189"/>
      <c r="N4" s="190"/>
      <c r="O4" s="192"/>
      <c r="P4" s="7"/>
    </row>
    <row r="5" spans="1:27">
      <c r="A5" s="194"/>
      <c r="B5" s="195"/>
      <c r="C5" s="195"/>
      <c r="D5" s="9"/>
      <c r="E5" s="11" t="s">
        <v>14</v>
      </c>
      <c r="F5" s="11" t="s">
        <v>15</v>
      </c>
      <c r="G5" s="11" t="s">
        <v>16</v>
      </c>
      <c r="H5" s="9" t="s">
        <v>17</v>
      </c>
      <c r="I5" s="9" t="s">
        <v>17</v>
      </c>
      <c r="J5" s="9" t="s">
        <v>18</v>
      </c>
      <c r="K5" s="9"/>
      <c r="L5" s="9" t="s">
        <v>17</v>
      </c>
      <c r="M5" s="9" t="s">
        <v>17</v>
      </c>
      <c r="N5" s="9" t="s">
        <v>19</v>
      </c>
      <c r="O5" s="9" t="s">
        <v>19</v>
      </c>
      <c r="P5" s="179" t="s">
        <v>20</v>
      </c>
      <c r="Q5" s="180"/>
      <c r="R5" s="12">
        <v>3000000</v>
      </c>
      <c r="S5" s="13" t="s">
        <v>21</v>
      </c>
      <c r="T5" s="14">
        <f>R5*4/1000</f>
        <v>12000</v>
      </c>
      <c r="V5" s="104" t="s">
        <v>22</v>
      </c>
      <c r="W5" s="105">
        <v>25</v>
      </c>
    </row>
    <row r="6" spans="1:27">
      <c r="A6" s="15">
        <v>0</v>
      </c>
      <c r="B6" s="16"/>
      <c r="C6" s="17">
        <f>R5</f>
        <v>3000000</v>
      </c>
      <c r="D6" s="18">
        <f>R14</f>
        <v>4380000</v>
      </c>
      <c r="E6" s="19">
        <f>D6*$R$19/365</f>
        <v>2904000</v>
      </c>
      <c r="F6" s="20">
        <f>D6*$R$20*$R$21/365</f>
        <v>1180800</v>
      </c>
      <c r="G6" s="18">
        <f>E6+F6</f>
        <v>4084800</v>
      </c>
      <c r="H6" s="21"/>
      <c r="I6" s="21"/>
      <c r="J6" s="22"/>
      <c r="K6" s="22">
        <f>-125400000</f>
        <v>-125400000</v>
      </c>
      <c r="L6" s="16"/>
      <c r="M6" s="16"/>
      <c r="N6" s="16"/>
      <c r="O6" s="23">
        <f>-W8</f>
        <v>-77000000</v>
      </c>
      <c r="P6" s="24"/>
      <c r="Q6" s="25"/>
      <c r="R6" s="26"/>
      <c r="S6" s="13"/>
      <c r="V6" s="104" t="s">
        <v>23</v>
      </c>
      <c r="W6" s="105">
        <f>R5*W5</f>
        <v>75000000</v>
      </c>
    </row>
    <row r="7" spans="1:27" ht="25.5">
      <c r="A7" s="27">
        <v>1</v>
      </c>
      <c r="B7" s="28">
        <v>1.7500000000000002E-2</v>
      </c>
      <c r="C7" s="29">
        <f>C6*(1-B7)</f>
        <v>2947500</v>
      </c>
      <c r="D7" s="30">
        <f>D6*(1-B7)</f>
        <v>4303350</v>
      </c>
      <c r="E7" s="19">
        <f t="shared" ref="E7:E31" si="0">D7*$R$19/365</f>
        <v>2853180</v>
      </c>
      <c r="F7" s="20">
        <f>D7*$R$20*$R$21/365</f>
        <v>1160136</v>
      </c>
      <c r="G7" s="18">
        <f t="shared" ref="G7:G31" si="1">E7+F7</f>
        <v>4013316</v>
      </c>
      <c r="H7" s="31">
        <v>4.5</v>
      </c>
      <c r="I7" s="31">
        <v>0</v>
      </c>
      <c r="J7" s="32">
        <f>(G6*H7)</f>
        <v>18381600</v>
      </c>
      <c r="K7" s="32">
        <f>(E7*H7)</f>
        <v>12839310</v>
      </c>
      <c r="L7" s="32">
        <v>0</v>
      </c>
      <c r="M7" s="32">
        <v>0</v>
      </c>
      <c r="N7" s="32">
        <f>J7*0.5</f>
        <v>9190800</v>
      </c>
      <c r="O7" s="33">
        <f t="shared" ref="O7:O23" si="2">J7-N7</f>
        <v>9190800</v>
      </c>
      <c r="P7" s="179" t="s">
        <v>24</v>
      </c>
      <c r="Q7" s="180"/>
      <c r="R7" s="12">
        <f>T7</f>
        <v>4380000</v>
      </c>
      <c r="S7" s="13" t="s">
        <v>25</v>
      </c>
      <c r="T7" s="14">
        <f>T5*365</f>
        <v>4380000</v>
      </c>
      <c r="V7" s="106" t="s">
        <v>26</v>
      </c>
      <c r="W7" s="107">
        <v>2000000</v>
      </c>
    </row>
    <row r="8" spans="1:27" ht="25.5">
      <c r="A8" s="27">
        <v>2</v>
      </c>
      <c r="B8" s="28">
        <v>3.5000000000000001E-3</v>
      </c>
      <c r="C8" s="29">
        <f t="shared" ref="C8:C31" si="3">C7*(1-B8)</f>
        <v>2937183.75</v>
      </c>
      <c r="D8" s="30">
        <f>D7*(1-B8)</f>
        <v>4288288.2750000004</v>
      </c>
      <c r="E8" s="19">
        <f t="shared" si="0"/>
        <v>2843193.87</v>
      </c>
      <c r="F8" s="20">
        <f t="shared" ref="F8:F31" si="4">D8*$R$20*$R$21/365</f>
        <v>1156075.5240000002</v>
      </c>
      <c r="G8" s="18">
        <f t="shared" si="1"/>
        <v>3999269.3940000003</v>
      </c>
      <c r="H8" s="31">
        <v>4.5</v>
      </c>
      <c r="I8" s="31">
        <v>0</v>
      </c>
      <c r="J8" s="32">
        <f t="shared" ref="J8:J31" si="5">(G7*H8)</f>
        <v>18059922</v>
      </c>
      <c r="K8" s="32">
        <f t="shared" ref="K8:K31" si="6">(E8*H8)</f>
        <v>12794372.415000001</v>
      </c>
      <c r="L8" s="32">
        <v>0</v>
      </c>
      <c r="M8" s="32">
        <v>0</v>
      </c>
      <c r="N8" s="32">
        <f t="shared" ref="N8:N32" si="7">J8*0.5</f>
        <v>9029961</v>
      </c>
      <c r="O8" s="33">
        <f t="shared" si="2"/>
        <v>9029961</v>
      </c>
      <c r="P8" s="34" t="s">
        <v>27</v>
      </c>
      <c r="Q8" s="35">
        <f>SUM(O7:O12)</f>
        <v>54025660.600779667</v>
      </c>
      <c r="R8" s="25"/>
      <c r="S8" s="13"/>
      <c r="V8" s="106" t="s">
        <v>28</v>
      </c>
      <c r="W8" s="107">
        <f>W6+W7</f>
        <v>77000000</v>
      </c>
    </row>
    <row r="9" spans="1:27" ht="25.5">
      <c r="A9" s="27">
        <v>3</v>
      </c>
      <c r="B9" s="28">
        <v>3.5000000000000001E-3</v>
      </c>
      <c r="C9" s="29">
        <f t="shared" si="3"/>
        <v>2926903.6068750001</v>
      </c>
      <c r="D9" s="30">
        <f t="shared" ref="D9:D31" si="8">D8*(1-B9)</f>
        <v>4273279.2660375005</v>
      </c>
      <c r="E9" s="19">
        <f t="shared" si="0"/>
        <v>2833242.6914550005</v>
      </c>
      <c r="F9" s="20">
        <f t="shared" si="4"/>
        <v>1152029.2596660003</v>
      </c>
      <c r="G9" s="18">
        <f t="shared" si="1"/>
        <v>3985271.9511210006</v>
      </c>
      <c r="H9" s="31">
        <v>4.5</v>
      </c>
      <c r="I9" s="31">
        <v>0</v>
      </c>
      <c r="J9" s="32">
        <f t="shared" si="5"/>
        <v>17996712.273000002</v>
      </c>
      <c r="K9" s="32">
        <f t="shared" si="6"/>
        <v>12749592.111547502</v>
      </c>
      <c r="L9" s="32">
        <v>0</v>
      </c>
      <c r="M9" s="32">
        <v>0</v>
      </c>
      <c r="N9" s="32">
        <f t="shared" si="7"/>
        <v>8998356.136500001</v>
      </c>
      <c r="O9" s="33">
        <f t="shared" si="2"/>
        <v>8998356.136500001</v>
      </c>
      <c r="P9" s="36" t="s">
        <v>29</v>
      </c>
      <c r="Q9" s="37">
        <f>SUM(N7:N12)</f>
        <v>54025660.600779667</v>
      </c>
      <c r="R9" s="38">
        <f>Q9*0.3</f>
        <v>16207698.1802339</v>
      </c>
      <c r="S9" s="39">
        <f>Q9-R9</f>
        <v>37817962.420545772</v>
      </c>
      <c r="V9" s="4" t="s">
        <v>27</v>
      </c>
      <c r="W9" s="5">
        <f>W8/O12</f>
        <v>8.6476009070465647</v>
      </c>
      <c r="X9" s="5" t="s">
        <v>62</v>
      </c>
    </row>
    <row r="10" spans="1:27" ht="25.5">
      <c r="A10" s="27">
        <v>4</v>
      </c>
      <c r="B10" s="28">
        <v>3.5000000000000001E-3</v>
      </c>
      <c r="C10" s="29">
        <f t="shared" si="3"/>
        <v>2916659.4442509376</v>
      </c>
      <c r="D10" s="30">
        <f t="shared" si="8"/>
        <v>4258322.7886063699</v>
      </c>
      <c r="E10" s="19">
        <f t="shared" si="0"/>
        <v>2823326.342034908</v>
      </c>
      <c r="F10" s="20">
        <f t="shared" si="4"/>
        <v>1147997.1572571695</v>
      </c>
      <c r="G10" s="18">
        <f t="shared" si="1"/>
        <v>3971323.4992920775</v>
      </c>
      <c r="H10" s="31">
        <v>4.5</v>
      </c>
      <c r="I10" s="31">
        <v>0</v>
      </c>
      <c r="J10" s="32">
        <f t="shared" si="5"/>
        <v>17933723.780044504</v>
      </c>
      <c r="K10" s="32">
        <f t="shared" si="6"/>
        <v>12704968.539157085</v>
      </c>
      <c r="L10" s="32">
        <v>0</v>
      </c>
      <c r="M10" s="32">
        <v>0</v>
      </c>
      <c r="N10" s="32">
        <f t="shared" si="7"/>
        <v>8966861.8900222518</v>
      </c>
      <c r="O10" s="33">
        <f t="shared" si="2"/>
        <v>8966861.8900222518</v>
      </c>
      <c r="P10" s="40"/>
      <c r="Q10" s="25"/>
      <c r="R10" s="41">
        <f>R9/10/12</f>
        <v>135064.15150194915</v>
      </c>
      <c r="S10" s="39">
        <f>S9/12/10</f>
        <v>315149.68683788145</v>
      </c>
      <c r="U10" s="14">
        <v>8.1</v>
      </c>
      <c r="V10" s="4" t="s">
        <v>31</v>
      </c>
      <c r="W10" s="5">
        <f>SUM(J7:J14)</f>
        <v>143481365.88023317</v>
      </c>
    </row>
    <row r="11" spans="1:27" ht="25.5">
      <c r="A11" s="27">
        <v>5</v>
      </c>
      <c r="B11" s="28">
        <v>3.5000000000000001E-3</v>
      </c>
      <c r="C11" s="29">
        <f t="shared" si="3"/>
        <v>2906451.1361960596</v>
      </c>
      <c r="D11" s="30">
        <f t="shared" si="8"/>
        <v>4243418.6588462479</v>
      </c>
      <c r="E11" s="19">
        <f t="shared" si="0"/>
        <v>2813444.6998377861</v>
      </c>
      <c r="F11" s="20">
        <f t="shared" si="4"/>
        <v>1143979.1672067693</v>
      </c>
      <c r="G11" s="18">
        <f t="shared" si="1"/>
        <v>3957423.8670445555</v>
      </c>
      <c r="H11" s="31">
        <v>4.5</v>
      </c>
      <c r="I11" s="31">
        <v>0</v>
      </c>
      <c r="J11" s="32">
        <f t="shared" si="5"/>
        <v>17870955.746814348</v>
      </c>
      <c r="K11" s="32">
        <f t="shared" si="6"/>
        <v>12660501.149270037</v>
      </c>
      <c r="L11" s="32">
        <v>0</v>
      </c>
      <c r="M11" s="32">
        <v>0</v>
      </c>
      <c r="N11" s="32">
        <f t="shared" si="7"/>
        <v>8935477.8734071739</v>
      </c>
      <c r="O11" s="33">
        <f t="shared" si="2"/>
        <v>8935477.8734071739</v>
      </c>
      <c r="P11" s="179" t="s">
        <v>32</v>
      </c>
      <c r="Q11" s="180"/>
      <c r="R11" s="12">
        <f>[1]asm!C22</f>
        <v>10</v>
      </c>
      <c r="S11" s="13" t="s">
        <v>33</v>
      </c>
      <c r="U11" s="14">
        <v>8.1</v>
      </c>
      <c r="V11" s="4" t="s">
        <v>34</v>
      </c>
      <c r="W11" s="5">
        <f>SUM(N7:N14)</f>
        <v>71740682.940116584</v>
      </c>
      <c r="X11" s="42">
        <f>W11/U11</f>
        <v>8856874.4370514303</v>
      </c>
    </row>
    <row r="12" spans="1:27" ht="25.5">
      <c r="A12" s="27">
        <v>6</v>
      </c>
      <c r="B12" s="28">
        <v>3.5000000000000001E-3</v>
      </c>
      <c r="C12" s="29">
        <f t="shared" si="3"/>
        <v>2896278.5572193735</v>
      </c>
      <c r="D12" s="30">
        <f t="shared" si="8"/>
        <v>4228566.6935402863</v>
      </c>
      <c r="E12" s="19">
        <f t="shared" si="0"/>
        <v>2803597.6433883542</v>
      </c>
      <c r="F12" s="20">
        <f t="shared" si="4"/>
        <v>1139975.2401215457</v>
      </c>
      <c r="G12" s="18">
        <f t="shared" si="1"/>
        <v>3943572.8835099</v>
      </c>
      <c r="H12" s="31">
        <v>4.5</v>
      </c>
      <c r="I12" s="31">
        <v>0</v>
      </c>
      <c r="J12" s="32">
        <f t="shared" si="5"/>
        <v>17808407.4017005</v>
      </c>
      <c r="K12" s="32">
        <f t="shared" si="6"/>
        <v>12616189.395247594</v>
      </c>
      <c r="L12" s="32">
        <v>0</v>
      </c>
      <c r="M12" s="32">
        <v>0</v>
      </c>
      <c r="N12" s="32">
        <f t="shared" si="7"/>
        <v>8904203.7008502502</v>
      </c>
      <c r="O12" s="33">
        <f t="shared" si="2"/>
        <v>8904203.7008502502</v>
      </c>
      <c r="P12" s="196" t="s">
        <v>35</v>
      </c>
      <c r="Q12" s="197"/>
      <c r="R12" s="43">
        <f>R11*100/365</f>
        <v>2.7397260273972601</v>
      </c>
      <c r="S12" s="13"/>
      <c r="V12" s="4" t="s">
        <v>36</v>
      </c>
      <c r="W12" s="5">
        <f>W11*30%</f>
        <v>21522204.882034976</v>
      </c>
      <c r="X12" s="5">
        <f>W12/U11</f>
        <v>2657062.3311154293</v>
      </c>
      <c r="Y12" s="5">
        <f>X12/12</f>
        <v>221421.86092628576</v>
      </c>
      <c r="Z12" s="5">
        <f>X12*100/X11</f>
        <v>30.000000000000004</v>
      </c>
    </row>
    <row r="13" spans="1:27">
      <c r="A13" s="15">
        <v>7</v>
      </c>
      <c r="B13" s="28">
        <v>3.5000000000000001E-3</v>
      </c>
      <c r="C13" s="29">
        <f t="shared" si="3"/>
        <v>2886141.5822691061</v>
      </c>
      <c r="D13" s="30">
        <f t="shared" si="8"/>
        <v>4213766.7101128958</v>
      </c>
      <c r="E13" s="19">
        <f t="shared" si="0"/>
        <v>2793785.0516364952</v>
      </c>
      <c r="F13" s="20">
        <f t="shared" si="4"/>
        <v>1135985.3267811206</v>
      </c>
      <c r="G13" s="18">
        <f t="shared" si="1"/>
        <v>3929770.3784176158</v>
      </c>
      <c r="H13" s="31">
        <v>4.5</v>
      </c>
      <c r="I13" s="31">
        <v>0</v>
      </c>
      <c r="J13" s="32">
        <f t="shared" si="5"/>
        <v>17746077.97579455</v>
      </c>
      <c r="K13" s="32">
        <f t="shared" si="6"/>
        <v>12572032.732364228</v>
      </c>
      <c r="L13" s="32">
        <v>0</v>
      </c>
      <c r="M13" s="32">
        <v>0</v>
      </c>
      <c r="N13" s="32">
        <f t="shared" si="7"/>
        <v>8873038.987897275</v>
      </c>
      <c r="O13" s="33">
        <f t="shared" si="2"/>
        <v>8873038.987897275</v>
      </c>
      <c r="P13" s="40"/>
      <c r="Q13" s="35">
        <f>SUM(O7:O14)</f>
        <v>71740682.940116584</v>
      </c>
      <c r="R13" s="45">
        <f>O12/12*9</f>
        <v>6678152.7756376881</v>
      </c>
      <c r="S13" s="46">
        <f>SUM(Q13:R13)</f>
        <v>78418835.715754271</v>
      </c>
      <c r="V13" s="4" t="s">
        <v>37</v>
      </c>
      <c r="W13" s="5">
        <f>W11*40%</f>
        <v>28696273.176046636</v>
      </c>
      <c r="X13" s="5">
        <f>W13/U11</f>
        <v>3542749.7748205727</v>
      </c>
      <c r="Y13" s="5">
        <f>X13/10</f>
        <v>354274.97748205729</v>
      </c>
      <c r="Z13" s="5">
        <f>X13*100/X11</f>
        <v>40.000000000000007</v>
      </c>
    </row>
    <row r="14" spans="1:27">
      <c r="A14" s="15">
        <v>8</v>
      </c>
      <c r="B14" s="28">
        <v>3.5000000000000001E-3</v>
      </c>
      <c r="C14" s="29">
        <f t="shared" si="3"/>
        <v>2876040.0867311643</v>
      </c>
      <c r="D14" s="30">
        <f t="shared" si="8"/>
        <v>4199018.5266275005</v>
      </c>
      <c r="E14" s="19">
        <f t="shared" si="0"/>
        <v>2784006.8039557678</v>
      </c>
      <c r="F14" s="20">
        <f t="shared" si="4"/>
        <v>1132009.3781373864</v>
      </c>
      <c r="G14" s="18">
        <f t="shared" si="1"/>
        <v>3916016.1820931542</v>
      </c>
      <c r="H14" s="31">
        <v>4.5</v>
      </c>
      <c r="I14" s="31">
        <v>0</v>
      </c>
      <c r="J14" s="32">
        <f t="shared" si="5"/>
        <v>17683966.702879272</v>
      </c>
      <c r="K14" s="32">
        <f t="shared" si="6"/>
        <v>12528030.617800955</v>
      </c>
      <c r="L14" s="32">
        <v>0</v>
      </c>
      <c r="M14" s="32">
        <v>0</v>
      </c>
      <c r="N14" s="32">
        <f t="shared" si="7"/>
        <v>8841983.3514396362</v>
      </c>
      <c r="O14" s="33">
        <f t="shared" si="2"/>
        <v>8841983.3514396362</v>
      </c>
      <c r="P14" s="179" t="s">
        <v>38</v>
      </c>
      <c r="Q14" s="180"/>
      <c r="R14" s="12">
        <f>R7</f>
        <v>4380000</v>
      </c>
      <c r="S14" s="13" t="s">
        <v>25</v>
      </c>
      <c r="V14" s="4" t="s">
        <v>39</v>
      </c>
      <c r="W14" s="5">
        <f>W11*20%</f>
        <v>14348136.588023318</v>
      </c>
      <c r="X14" s="5">
        <f>W14/U11</f>
        <v>1771374.8874102863</v>
      </c>
      <c r="Y14" s="5">
        <f>X14/12</f>
        <v>147614.57395085719</v>
      </c>
      <c r="Z14" s="5">
        <f>X14*100/X11</f>
        <v>20.000000000000004</v>
      </c>
    </row>
    <row r="15" spans="1:27">
      <c r="A15" s="15">
        <v>9</v>
      </c>
      <c r="B15" s="28">
        <v>3.5000000000000001E-3</v>
      </c>
      <c r="C15" s="29">
        <f t="shared" si="3"/>
        <v>2865973.9464276051</v>
      </c>
      <c r="D15" s="30">
        <f t="shared" si="8"/>
        <v>4184321.9617843046</v>
      </c>
      <c r="E15" s="19">
        <f t="shared" si="0"/>
        <v>2774262.7801419226</v>
      </c>
      <c r="F15" s="20">
        <f t="shared" si="4"/>
        <v>1128047.3453139057</v>
      </c>
      <c r="G15" s="18">
        <f t="shared" si="1"/>
        <v>3902310.1254558284</v>
      </c>
      <c r="H15" s="31">
        <v>4.5</v>
      </c>
      <c r="I15" s="31">
        <v>0</v>
      </c>
      <c r="J15" s="32">
        <f t="shared" si="5"/>
        <v>17622072.819419194</v>
      </c>
      <c r="K15" s="32">
        <f t="shared" si="6"/>
        <v>12484182.510638652</v>
      </c>
      <c r="L15" s="32">
        <v>0</v>
      </c>
      <c r="M15" s="32">
        <v>0</v>
      </c>
      <c r="N15" s="32">
        <f t="shared" si="7"/>
        <v>8811036.409709597</v>
      </c>
      <c r="O15" s="44">
        <f t="shared" si="2"/>
        <v>8811036.409709597</v>
      </c>
      <c r="P15" s="40"/>
      <c r="Q15" s="25"/>
      <c r="R15" s="47"/>
      <c r="S15" s="13"/>
      <c r="V15" s="4" t="s">
        <v>40</v>
      </c>
      <c r="W15" s="5">
        <f>W11-W12-W13-W14</f>
        <v>7174068.2940116581</v>
      </c>
      <c r="X15" s="5">
        <f>W15/U11</f>
        <v>885687.44370514306</v>
      </c>
      <c r="Y15" s="5">
        <f>X15/12</f>
        <v>73807.286975428593</v>
      </c>
      <c r="Z15" s="5">
        <f>100-Z12-Z13-Z14</f>
        <v>9.9999999999999893</v>
      </c>
    </row>
    <row r="16" spans="1:27">
      <c r="A16" s="15">
        <v>10</v>
      </c>
      <c r="B16" s="28">
        <v>3.5000000000000001E-3</v>
      </c>
      <c r="C16" s="29">
        <f t="shared" si="3"/>
        <v>2855943.0376151088</v>
      </c>
      <c r="D16" s="30">
        <f t="shared" si="8"/>
        <v>4169676.8349180599</v>
      </c>
      <c r="E16" s="19">
        <f t="shared" si="0"/>
        <v>2764552.8604114261</v>
      </c>
      <c r="F16" s="20">
        <f t="shared" si="4"/>
        <v>1124099.1796053071</v>
      </c>
      <c r="G16" s="18">
        <f t="shared" si="1"/>
        <v>3888652.0400167331</v>
      </c>
      <c r="H16" s="31">
        <v>4.5</v>
      </c>
      <c r="I16" s="31">
        <v>0</v>
      </c>
      <c r="J16" s="32">
        <f t="shared" si="5"/>
        <v>17560395.564551227</v>
      </c>
      <c r="K16" s="32">
        <f t="shared" si="6"/>
        <v>12440487.871851418</v>
      </c>
      <c r="L16" s="32">
        <v>0</v>
      </c>
      <c r="M16" s="32">
        <v>0</v>
      </c>
      <c r="N16" s="32">
        <f t="shared" si="7"/>
        <v>8780197.7822756134</v>
      </c>
      <c r="O16" s="44">
        <f t="shared" si="2"/>
        <v>8780197.7822756134</v>
      </c>
      <c r="P16" s="179" t="s">
        <v>41</v>
      </c>
      <c r="Q16" s="180"/>
      <c r="R16" s="48">
        <v>0.3</v>
      </c>
      <c r="S16" s="13"/>
      <c r="V16" s="49"/>
      <c r="W16" s="97" t="s">
        <v>34</v>
      </c>
      <c r="X16" s="97" t="s">
        <v>66</v>
      </c>
      <c r="Y16" s="97" t="s">
        <v>67</v>
      </c>
      <c r="Z16" s="97"/>
      <c r="AA16" s="4"/>
    </row>
    <row r="17" spans="1:27">
      <c r="A17" s="15">
        <v>11</v>
      </c>
      <c r="B17" s="28">
        <v>3.5000000000000001E-3</v>
      </c>
      <c r="C17" s="29">
        <f t="shared" si="3"/>
        <v>2845947.2369834562</v>
      </c>
      <c r="D17" s="30">
        <f t="shared" si="8"/>
        <v>4155082.9659958468</v>
      </c>
      <c r="E17" s="19">
        <f t="shared" si="0"/>
        <v>2754876.9253999861</v>
      </c>
      <c r="F17" s="20">
        <f>D17*$R$20*$R$21/365</f>
        <v>1120164.8324766885</v>
      </c>
      <c r="G17" s="18">
        <f t="shared" si="1"/>
        <v>3875041.7578766746</v>
      </c>
      <c r="H17" s="31">
        <v>4.5</v>
      </c>
      <c r="I17" s="31">
        <v>0</v>
      </c>
      <c r="J17" s="32">
        <f t="shared" si="5"/>
        <v>17498934.180075299</v>
      </c>
      <c r="K17" s="32">
        <f t="shared" si="6"/>
        <v>12396946.164299937</v>
      </c>
      <c r="L17" s="32">
        <v>0</v>
      </c>
      <c r="M17" s="32">
        <v>0</v>
      </c>
      <c r="N17" s="32">
        <f t="shared" si="7"/>
        <v>8749467.0900376495</v>
      </c>
      <c r="O17" s="44">
        <f t="shared" si="2"/>
        <v>8749467.0900376495</v>
      </c>
      <c r="P17" s="40"/>
      <c r="Q17" s="25"/>
      <c r="R17" s="47"/>
      <c r="S17" s="25"/>
      <c r="U17" s="51"/>
      <c r="V17" s="4" t="s">
        <v>64</v>
      </c>
      <c r="W17" s="5">
        <f>SUM(J7:J21)</f>
        <v>265548182.33900642</v>
      </c>
      <c r="X17" s="5">
        <f>W17-W8</f>
        <v>188548182.33900642</v>
      </c>
      <c r="Y17" s="5">
        <f>X17*100/W8</f>
        <v>244.86776927143691</v>
      </c>
      <c r="AA17" s="53"/>
    </row>
    <row r="18" spans="1:27">
      <c r="A18" s="15">
        <v>12</v>
      </c>
      <c r="B18" s="28">
        <v>3.5000000000000001E-3</v>
      </c>
      <c r="C18" s="29">
        <f t="shared" si="3"/>
        <v>2835986.4216540144</v>
      </c>
      <c r="D18" s="30">
        <f t="shared" si="8"/>
        <v>4140540.1756148613</v>
      </c>
      <c r="E18" s="19">
        <f t="shared" si="0"/>
        <v>2745234.8561610864</v>
      </c>
      <c r="F18" s="20">
        <f t="shared" si="4"/>
        <v>1116244.2555630202</v>
      </c>
      <c r="G18" s="18">
        <f t="shared" si="1"/>
        <v>3861479.1117241066</v>
      </c>
      <c r="H18" s="31">
        <v>4.5</v>
      </c>
      <c r="I18" s="31">
        <v>0</v>
      </c>
      <c r="J18" s="32">
        <f t="shared" si="5"/>
        <v>17437687.910445035</v>
      </c>
      <c r="K18" s="32">
        <f t="shared" si="6"/>
        <v>12353556.852724889</v>
      </c>
      <c r="L18" s="32">
        <v>0</v>
      </c>
      <c r="M18" s="32">
        <v>0</v>
      </c>
      <c r="N18" s="32">
        <f t="shared" si="7"/>
        <v>8718843.9552225173</v>
      </c>
      <c r="O18" s="44">
        <f t="shared" si="2"/>
        <v>8718843.9552225173</v>
      </c>
      <c r="P18" s="40"/>
      <c r="Q18" s="25"/>
      <c r="R18" s="25"/>
      <c r="S18" s="25"/>
      <c r="V18" s="4" t="s">
        <v>65</v>
      </c>
      <c r="W18" s="5">
        <f>J32</f>
        <v>434813507.06424135</v>
      </c>
      <c r="X18" s="5">
        <f>W18-W8</f>
        <v>357813507.06424135</v>
      </c>
      <c r="Y18" s="5">
        <f>X18*100/W8</f>
        <v>464.69286631719655</v>
      </c>
    </row>
    <row r="19" spans="1:27">
      <c r="A19" s="15">
        <v>13</v>
      </c>
      <c r="B19" s="28">
        <v>3.5000000000000001E-3</v>
      </c>
      <c r="C19" s="29">
        <f t="shared" si="3"/>
        <v>2826060.4691782254</v>
      </c>
      <c r="D19" s="30">
        <f t="shared" si="8"/>
        <v>4126048.2850002097</v>
      </c>
      <c r="E19" s="19">
        <f t="shared" si="0"/>
        <v>2735626.5341645223</v>
      </c>
      <c r="F19" s="20">
        <f t="shared" si="4"/>
        <v>1112337.4006685498</v>
      </c>
      <c r="G19" s="18">
        <f t="shared" si="1"/>
        <v>3847963.9348330721</v>
      </c>
      <c r="H19" s="31">
        <v>4.5</v>
      </c>
      <c r="I19" s="31">
        <v>0</v>
      </c>
      <c r="J19" s="32">
        <f t="shared" si="5"/>
        <v>17376656.002758481</v>
      </c>
      <c r="K19" s="32">
        <f t="shared" si="6"/>
        <v>12310319.40374035</v>
      </c>
      <c r="L19" s="32">
        <v>0</v>
      </c>
      <c r="M19" s="32">
        <v>0</v>
      </c>
      <c r="N19" s="32">
        <f t="shared" si="7"/>
        <v>8688328.0013792403</v>
      </c>
      <c r="O19" s="44">
        <f t="shared" si="2"/>
        <v>8688328.0013792403</v>
      </c>
      <c r="P19" s="179" t="s">
        <v>43</v>
      </c>
      <c r="Q19" s="180"/>
      <c r="R19" s="54">
        <f>[1]asm!C24</f>
        <v>242</v>
      </c>
      <c r="S19" s="13" t="s">
        <v>33</v>
      </c>
      <c r="T19" s="55"/>
      <c r="W19" s="5">
        <f>W18-W17</f>
        <v>169265324.72523493</v>
      </c>
      <c r="X19" s="5">
        <f>X18-X17</f>
        <v>169265324.72523493</v>
      </c>
      <c r="Y19" s="5">
        <f>Y18-Y17</f>
        <v>219.82509704575963</v>
      </c>
    </row>
    <row r="20" spans="1:27">
      <c r="A20" s="15">
        <v>14</v>
      </c>
      <c r="B20" s="28">
        <v>3.5000000000000001E-3</v>
      </c>
      <c r="C20" s="29">
        <f t="shared" si="3"/>
        <v>2816169.2575361016</v>
      </c>
      <c r="D20" s="30">
        <f t="shared" si="8"/>
        <v>4111607.1160027091</v>
      </c>
      <c r="E20" s="19">
        <f t="shared" si="0"/>
        <v>2726051.8412949466</v>
      </c>
      <c r="F20" s="20">
        <f t="shared" si="4"/>
        <v>1108444.2197662098</v>
      </c>
      <c r="G20" s="18">
        <f t="shared" si="1"/>
        <v>3834496.0610611564</v>
      </c>
      <c r="H20" s="31">
        <v>4.5</v>
      </c>
      <c r="I20" s="31">
        <v>0</v>
      </c>
      <c r="J20" s="32">
        <f t="shared" si="5"/>
        <v>17315837.706748825</v>
      </c>
      <c r="K20" s="32">
        <f t="shared" si="6"/>
        <v>12267233.28582726</v>
      </c>
      <c r="L20" s="32">
        <v>0</v>
      </c>
      <c r="M20" s="32">
        <v>0</v>
      </c>
      <c r="N20" s="32">
        <f t="shared" si="7"/>
        <v>8657918.8533744123</v>
      </c>
      <c r="O20" s="44">
        <f t="shared" si="2"/>
        <v>8657918.8533744123</v>
      </c>
      <c r="P20" s="179" t="s">
        <v>44</v>
      </c>
      <c r="Q20" s="180"/>
      <c r="R20" s="56">
        <f>365-R19</f>
        <v>123</v>
      </c>
      <c r="S20" s="13" t="s">
        <v>33</v>
      </c>
      <c r="T20" s="55"/>
    </row>
    <row r="21" spans="1:27">
      <c r="A21" s="15">
        <v>15</v>
      </c>
      <c r="B21" s="28">
        <v>3.5000000000000001E-3</v>
      </c>
      <c r="C21" s="29">
        <f t="shared" si="3"/>
        <v>2806312.6651347256</v>
      </c>
      <c r="D21" s="30">
        <f t="shared" si="8"/>
        <v>4097216.4910967001</v>
      </c>
      <c r="E21" s="19">
        <f t="shared" si="0"/>
        <v>2716510.6598504148</v>
      </c>
      <c r="F21" s="20">
        <f t="shared" si="4"/>
        <v>1104564.6649970284</v>
      </c>
      <c r="G21" s="18">
        <f t="shared" si="1"/>
        <v>3821075.324847443</v>
      </c>
      <c r="H21" s="31">
        <v>4.5</v>
      </c>
      <c r="I21" s="31">
        <v>0</v>
      </c>
      <c r="J21" s="32">
        <f t="shared" si="5"/>
        <v>17255232.274775203</v>
      </c>
      <c r="K21" s="32">
        <f t="shared" si="6"/>
        <v>12224297.969326867</v>
      </c>
      <c r="L21" s="32">
        <v>0</v>
      </c>
      <c r="M21" s="32">
        <v>0</v>
      </c>
      <c r="N21" s="32">
        <f t="shared" si="7"/>
        <v>8627616.1373876017</v>
      </c>
      <c r="O21" s="44">
        <f t="shared" si="2"/>
        <v>8627616.1373876017</v>
      </c>
      <c r="P21" s="179" t="s">
        <v>45</v>
      </c>
      <c r="Q21" s="180"/>
      <c r="R21" s="57">
        <v>0.8</v>
      </c>
      <c r="S21" s="25"/>
    </row>
    <row r="22" spans="1:27">
      <c r="A22" s="15">
        <v>16</v>
      </c>
      <c r="B22" s="28">
        <v>3.5000000000000001E-3</v>
      </c>
      <c r="C22" s="29">
        <f t="shared" si="3"/>
        <v>2796490.5708067543</v>
      </c>
      <c r="D22" s="30">
        <f t="shared" si="8"/>
        <v>4082876.2333778618</v>
      </c>
      <c r="E22" s="19">
        <f t="shared" si="0"/>
        <v>2707002.8725409382</v>
      </c>
      <c r="F22" s="20">
        <f t="shared" si="4"/>
        <v>1100698.6886695386</v>
      </c>
      <c r="G22" s="18">
        <f t="shared" si="1"/>
        <v>3807701.5612104768</v>
      </c>
      <c r="H22" s="31">
        <v>4.5</v>
      </c>
      <c r="I22" s="31">
        <v>0</v>
      </c>
      <c r="J22" s="32">
        <f t="shared" si="5"/>
        <v>17194838.961813495</v>
      </c>
      <c r="K22" s="32">
        <f t="shared" si="6"/>
        <v>12181512.926434223</v>
      </c>
      <c r="L22" s="32">
        <v>0</v>
      </c>
      <c r="M22" s="32">
        <v>0</v>
      </c>
      <c r="N22" s="32">
        <f t="shared" si="7"/>
        <v>8597419.4809067473</v>
      </c>
      <c r="O22" s="44">
        <f t="shared" si="2"/>
        <v>8597419.4809067473</v>
      </c>
      <c r="P22" s="40"/>
      <c r="Q22" s="25"/>
      <c r="R22" s="25"/>
      <c r="S22" s="25"/>
      <c r="V22" s="58"/>
      <c r="Z22" s="98"/>
      <c r="AA22" s="59"/>
    </row>
    <row r="23" spans="1:27">
      <c r="A23" s="15">
        <v>17</v>
      </c>
      <c r="B23" s="28">
        <v>3.5000000000000001E-3</v>
      </c>
      <c r="C23" s="29">
        <f t="shared" si="3"/>
        <v>2786702.8538089306</v>
      </c>
      <c r="D23" s="30">
        <f t="shared" si="8"/>
        <v>4068586.1665610396</v>
      </c>
      <c r="E23" s="19">
        <f t="shared" si="0"/>
        <v>2697528.3624870456</v>
      </c>
      <c r="F23" s="20">
        <f t="shared" si="4"/>
        <v>1096846.2432591955</v>
      </c>
      <c r="G23" s="18">
        <f t="shared" si="1"/>
        <v>3794374.6057462413</v>
      </c>
      <c r="H23" s="31">
        <v>4.5</v>
      </c>
      <c r="I23" s="31">
        <v>0</v>
      </c>
      <c r="J23" s="32">
        <f t="shared" si="5"/>
        <v>17134657.025447145</v>
      </c>
      <c r="K23" s="32">
        <f t="shared" si="6"/>
        <v>12138877.631191704</v>
      </c>
      <c r="L23" s="32">
        <v>0</v>
      </c>
      <c r="M23" s="32">
        <v>0</v>
      </c>
      <c r="N23" s="32">
        <f t="shared" si="7"/>
        <v>8567328.5127235726</v>
      </c>
      <c r="O23" s="44">
        <f t="shared" si="2"/>
        <v>8567328.5127235726</v>
      </c>
      <c r="P23" s="179" t="s">
        <v>46</v>
      </c>
      <c r="Q23" s="180"/>
      <c r="R23" s="60">
        <v>6.6</v>
      </c>
      <c r="S23" s="61"/>
      <c r="T23" s="14"/>
      <c r="V23" s="62"/>
    </row>
    <row r="24" spans="1:27">
      <c r="A24" s="15">
        <v>18</v>
      </c>
      <c r="B24" s="28">
        <v>3.5000000000000001E-3</v>
      </c>
      <c r="C24" s="29">
        <f t="shared" si="3"/>
        <v>2776949.3938205997</v>
      </c>
      <c r="D24" s="30">
        <f t="shared" si="8"/>
        <v>4054346.1149780764</v>
      </c>
      <c r="E24" s="19">
        <f t="shared" si="0"/>
        <v>2688087.0132183409</v>
      </c>
      <c r="F24" s="20">
        <f t="shared" si="4"/>
        <v>1093007.2814077884</v>
      </c>
      <c r="G24" s="18">
        <f t="shared" si="1"/>
        <v>3781094.2946261293</v>
      </c>
      <c r="H24" s="31">
        <v>4.5</v>
      </c>
      <c r="I24" s="31">
        <v>0</v>
      </c>
      <c r="J24" s="32">
        <f t="shared" si="5"/>
        <v>17074685.725858085</v>
      </c>
      <c r="K24" s="32">
        <f t="shared" si="6"/>
        <v>12096391.559482533</v>
      </c>
      <c r="L24" s="32">
        <v>0</v>
      </c>
      <c r="M24" s="32">
        <v>0</v>
      </c>
      <c r="N24" s="32">
        <f t="shared" si="7"/>
        <v>8537342.8629290424</v>
      </c>
      <c r="O24" s="44">
        <f>J24-N24</f>
        <v>8537342.8629290424</v>
      </c>
      <c r="P24" s="179" t="s">
        <v>69</v>
      </c>
      <c r="Q24" s="180"/>
      <c r="R24" s="60">
        <v>4.5</v>
      </c>
      <c r="S24" s="61"/>
      <c r="T24" s="14"/>
    </row>
    <row r="25" spans="1:27">
      <c r="A25" s="15">
        <v>19</v>
      </c>
      <c r="B25" s="28">
        <v>3.5000000000000001E-3</v>
      </c>
      <c r="C25" s="29">
        <f t="shared" si="3"/>
        <v>2767230.0709422277</v>
      </c>
      <c r="D25" s="30">
        <f t="shared" si="8"/>
        <v>4040155.9035756532</v>
      </c>
      <c r="E25" s="19">
        <f t="shared" si="0"/>
        <v>2678678.7086720769</v>
      </c>
      <c r="F25" s="20">
        <f t="shared" si="4"/>
        <v>1089181.7559228609</v>
      </c>
      <c r="G25" s="18">
        <f t="shared" si="1"/>
        <v>3767860.4645949379</v>
      </c>
      <c r="H25" s="31">
        <v>4.5</v>
      </c>
      <c r="I25" s="31">
        <v>0</v>
      </c>
      <c r="J25" s="32">
        <f t="shared" si="5"/>
        <v>17014924.325817581</v>
      </c>
      <c r="K25" s="32">
        <f t="shared" si="6"/>
        <v>12054054.189024346</v>
      </c>
      <c r="L25" s="32">
        <v>0</v>
      </c>
      <c r="M25" s="32">
        <v>0</v>
      </c>
      <c r="N25" s="32">
        <f t="shared" si="7"/>
        <v>8507462.1629087906</v>
      </c>
      <c r="O25" s="44">
        <f t="shared" ref="O25:O30" si="9">J25-N25</f>
        <v>8507462.1629087906</v>
      </c>
      <c r="P25" s="63" t="s">
        <v>48</v>
      </c>
      <c r="Q25" s="64"/>
      <c r="R25" s="65">
        <f>W8</f>
        <v>77000000</v>
      </c>
      <c r="S25" s="61" t="s">
        <v>49</v>
      </c>
      <c r="T25" s="14"/>
    </row>
    <row r="26" spans="1:27">
      <c r="A26" s="15">
        <v>20</v>
      </c>
      <c r="B26" s="28">
        <v>3.5000000000000001E-3</v>
      </c>
      <c r="C26" s="29">
        <f t="shared" si="3"/>
        <v>2757544.76569393</v>
      </c>
      <c r="D26" s="30">
        <f t="shared" si="8"/>
        <v>4026015.3579131388</v>
      </c>
      <c r="E26" s="19">
        <f t="shared" si="0"/>
        <v>2669303.333191725</v>
      </c>
      <c r="F26" s="20">
        <f t="shared" si="4"/>
        <v>1085369.6197771314</v>
      </c>
      <c r="G26" s="18">
        <f t="shared" si="1"/>
        <v>3754672.9529688563</v>
      </c>
      <c r="H26" s="31">
        <v>4.5</v>
      </c>
      <c r="I26" s="31">
        <v>0</v>
      </c>
      <c r="J26" s="32">
        <f t="shared" si="5"/>
        <v>16955372.09067722</v>
      </c>
      <c r="K26" s="32">
        <f t="shared" si="6"/>
        <v>12011864.999362763</v>
      </c>
      <c r="L26" s="32">
        <v>0</v>
      </c>
      <c r="M26" s="32">
        <v>0</v>
      </c>
      <c r="N26" s="32">
        <f t="shared" si="7"/>
        <v>8477686.0453386102</v>
      </c>
      <c r="O26" s="44">
        <f t="shared" si="9"/>
        <v>8477686.0453386102</v>
      </c>
      <c r="P26" s="66" t="s">
        <v>37</v>
      </c>
      <c r="Q26" s="67" t="s">
        <v>50</v>
      </c>
      <c r="R26" s="68"/>
      <c r="T26" s="14"/>
    </row>
    <row r="27" spans="1:27">
      <c r="A27" s="15">
        <v>21</v>
      </c>
      <c r="B27" s="28">
        <v>3.5000000000000001E-3</v>
      </c>
      <c r="C27" s="29">
        <f t="shared" si="3"/>
        <v>2747893.3590140012</v>
      </c>
      <c r="D27" s="30">
        <f t="shared" si="8"/>
        <v>4011924.3041604431</v>
      </c>
      <c r="E27" s="19">
        <f t="shared" si="0"/>
        <v>2659960.7715255544</v>
      </c>
      <c r="F27" s="20">
        <f t="shared" si="4"/>
        <v>1081570.8261079113</v>
      </c>
      <c r="G27" s="18">
        <f t="shared" si="1"/>
        <v>3741531.5976334657</v>
      </c>
      <c r="H27" s="31">
        <v>4.5</v>
      </c>
      <c r="I27" s="31">
        <v>0</v>
      </c>
      <c r="J27" s="32">
        <f t="shared" si="5"/>
        <v>16896028.288359854</v>
      </c>
      <c r="K27" s="32">
        <f t="shared" si="6"/>
        <v>11969823.471864995</v>
      </c>
      <c r="L27" s="32">
        <v>0</v>
      </c>
      <c r="M27" s="32">
        <v>0</v>
      </c>
      <c r="N27" s="32">
        <f t="shared" si="7"/>
        <v>8448014.1441799272</v>
      </c>
      <c r="O27" s="44">
        <f t="shared" si="9"/>
        <v>8448014.1441799272</v>
      </c>
      <c r="P27" s="66"/>
      <c r="Q27" s="67" t="s">
        <v>51</v>
      </c>
      <c r="R27" s="68"/>
      <c r="T27" s="14"/>
    </row>
    <row r="28" spans="1:27">
      <c r="A28" s="15">
        <v>22</v>
      </c>
      <c r="B28" s="28">
        <v>3.5000000000000001E-3</v>
      </c>
      <c r="C28" s="29">
        <f t="shared" si="3"/>
        <v>2738275.7322574523</v>
      </c>
      <c r="D28" s="30">
        <f t="shared" si="8"/>
        <v>3997882.5690958817</v>
      </c>
      <c r="E28" s="19">
        <f t="shared" si="0"/>
        <v>2650650.9088252145</v>
      </c>
      <c r="F28" s="20">
        <f t="shared" si="4"/>
        <v>1077785.3282165336</v>
      </c>
      <c r="G28" s="18">
        <f t="shared" si="1"/>
        <v>3728436.2370417481</v>
      </c>
      <c r="H28" s="31">
        <v>4.5</v>
      </c>
      <c r="I28" s="31">
        <v>0</v>
      </c>
      <c r="J28" s="32">
        <f t="shared" si="5"/>
        <v>16836892.189350594</v>
      </c>
      <c r="K28" s="32">
        <f t="shared" si="6"/>
        <v>11927929.089713465</v>
      </c>
      <c r="L28" s="32">
        <v>0</v>
      </c>
      <c r="M28" s="32">
        <v>0</v>
      </c>
      <c r="N28" s="32">
        <f t="shared" si="7"/>
        <v>8418446.0946752969</v>
      </c>
      <c r="O28" s="44">
        <f t="shared" si="9"/>
        <v>8418446.0946752969</v>
      </c>
      <c r="P28" s="66"/>
      <c r="Q28" s="67" t="s">
        <v>52</v>
      </c>
      <c r="R28" s="68"/>
      <c r="T28" s="14"/>
    </row>
    <row r="29" spans="1:27">
      <c r="A29" s="15">
        <v>23</v>
      </c>
      <c r="B29" s="28">
        <v>3.5000000000000001E-3</v>
      </c>
      <c r="C29" s="29">
        <f t="shared" si="3"/>
        <v>2728691.7671945514</v>
      </c>
      <c r="D29" s="30">
        <f t="shared" si="8"/>
        <v>3983889.9801040464</v>
      </c>
      <c r="E29" s="19">
        <f t="shared" si="0"/>
        <v>2641373.6306443266</v>
      </c>
      <c r="F29" s="20">
        <f t="shared" si="4"/>
        <v>1074013.0795677761</v>
      </c>
      <c r="G29" s="18">
        <f t="shared" si="1"/>
        <v>3715386.7102121026</v>
      </c>
      <c r="H29" s="31">
        <v>4.5</v>
      </c>
      <c r="I29" s="31">
        <v>0</v>
      </c>
      <c r="J29" s="32">
        <f t="shared" si="5"/>
        <v>16777963.066687867</v>
      </c>
      <c r="K29" s="32">
        <f t="shared" si="6"/>
        <v>11886181.337899469</v>
      </c>
      <c r="L29" s="32">
        <v>0</v>
      </c>
      <c r="M29" s="32">
        <v>0</v>
      </c>
      <c r="N29" s="32">
        <f t="shared" si="7"/>
        <v>8388981.5333439335</v>
      </c>
      <c r="O29" s="44">
        <f t="shared" si="9"/>
        <v>8388981.5333439335</v>
      </c>
      <c r="P29" s="66"/>
      <c r="Q29" s="67" t="s">
        <v>53</v>
      </c>
      <c r="R29" s="68"/>
      <c r="T29" s="14"/>
    </row>
    <row r="30" spans="1:27">
      <c r="A30" s="15">
        <v>24</v>
      </c>
      <c r="B30" s="28">
        <v>3.5000000000000001E-3</v>
      </c>
      <c r="C30" s="29">
        <f t="shared" si="3"/>
        <v>2719141.3460093704</v>
      </c>
      <c r="D30" s="30">
        <f t="shared" si="8"/>
        <v>3969946.3651736826</v>
      </c>
      <c r="E30" s="19">
        <f t="shared" si="0"/>
        <v>2632128.8229370718</v>
      </c>
      <c r="F30" s="20">
        <f t="shared" si="4"/>
        <v>1070254.0337892887</v>
      </c>
      <c r="G30" s="18">
        <f t="shared" si="1"/>
        <v>3702382.8567263605</v>
      </c>
      <c r="H30" s="31">
        <v>4.5</v>
      </c>
      <c r="I30" s="31">
        <v>0</v>
      </c>
      <c r="J30" s="32">
        <f t="shared" si="5"/>
        <v>16719240.195954463</v>
      </c>
      <c r="K30" s="32">
        <f t="shared" si="6"/>
        <v>11844579.703216823</v>
      </c>
      <c r="L30" s="32">
        <v>0</v>
      </c>
      <c r="M30" s="32">
        <v>0</v>
      </c>
      <c r="N30" s="32">
        <f t="shared" si="7"/>
        <v>8359620.0979772313</v>
      </c>
      <c r="O30" s="44">
        <f t="shared" si="9"/>
        <v>8359620.0979772313</v>
      </c>
      <c r="P30" s="66"/>
      <c r="Q30" s="67" t="s">
        <v>54</v>
      </c>
      <c r="R30" s="68"/>
      <c r="T30" s="14"/>
    </row>
    <row r="31" spans="1:27">
      <c r="A31" s="15">
        <v>25</v>
      </c>
      <c r="B31" s="28">
        <v>3.5000000000000001E-3</v>
      </c>
      <c r="C31" s="29">
        <f t="shared" si="3"/>
        <v>2709624.3512983378</v>
      </c>
      <c r="D31" s="30">
        <f t="shared" si="8"/>
        <v>3956051.5528955748</v>
      </c>
      <c r="E31" s="19">
        <f t="shared" si="0"/>
        <v>2622916.372056792</v>
      </c>
      <c r="F31" s="20">
        <f t="shared" si="4"/>
        <v>1066508.1446710264</v>
      </c>
      <c r="G31" s="18">
        <f t="shared" si="1"/>
        <v>3689424.5167278182</v>
      </c>
      <c r="H31" s="31">
        <v>4.5</v>
      </c>
      <c r="I31" s="31">
        <v>0</v>
      </c>
      <c r="J31" s="32">
        <f t="shared" si="5"/>
        <v>16660722.855268622</v>
      </c>
      <c r="K31" s="32">
        <f t="shared" si="6"/>
        <v>11803123.674255565</v>
      </c>
      <c r="L31" s="32">
        <v>0</v>
      </c>
      <c r="M31" s="32">
        <v>0</v>
      </c>
      <c r="N31" s="32">
        <f t="shared" si="7"/>
        <v>8330361.4276343109</v>
      </c>
      <c r="O31" s="44">
        <f>J31-N31</f>
        <v>8330361.4276343109</v>
      </c>
      <c r="P31" s="69"/>
      <c r="Q31" s="70"/>
      <c r="T31" s="14"/>
    </row>
    <row r="32" spans="1:27">
      <c r="A32" s="15" t="s">
        <v>55</v>
      </c>
      <c r="B32" s="71">
        <f>SUM(B7:B31)</f>
        <v>0.10150000000000006</v>
      </c>
      <c r="C32" s="72">
        <f>AVERAGE(C6:C31)</f>
        <v>2833619.0541891176</v>
      </c>
      <c r="D32" s="73">
        <f>SUM(D7:D26)</f>
        <v>83264484.525589257</v>
      </c>
      <c r="E32" s="73"/>
      <c r="F32" s="73"/>
      <c r="G32" s="73"/>
      <c r="H32" s="74"/>
      <c r="I32" s="74"/>
      <c r="J32" s="75">
        <f>SUM(J7:J31)</f>
        <v>434813507.06424135</v>
      </c>
      <c r="K32" s="75">
        <f t="shared" ref="K32:M32" si="10">SUM(K7:N31)</f>
        <v>525263113.13336325</v>
      </c>
      <c r="L32" s="75">
        <f t="shared" si="10"/>
        <v>434813507.06424135</v>
      </c>
      <c r="M32" s="75">
        <f t="shared" si="10"/>
        <v>434813507.06424135</v>
      </c>
      <c r="N32" s="32">
        <f t="shared" si="7"/>
        <v>217406753.53212067</v>
      </c>
      <c r="O32" s="76">
        <f>SUM(O7:O31)</f>
        <v>217406753.53212067</v>
      </c>
      <c r="P32" s="77"/>
    </row>
    <row r="33" spans="1:20">
      <c r="A33" s="78"/>
      <c r="B33" s="79"/>
      <c r="C33" s="80"/>
      <c r="D33" s="73"/>
      <c r="E33" s="81"/>
      <c r="F33" s="81"/>
      <c r="G33" s="81"/>
      <c r="H33" s="82"/>
      <c r="I33" s="82"/>
      <c r="J33" s="77"/>
      <c r="K33" s="77"/>
      <c r="L33" s="77"/>
      <c r="M33" s="77"/>
      <c r="N33" s="83" t="s">
        <v>56</v>
      </c>
      <c r="O33" s="83">
        <v>5.75</v>
      </c>
      <c r="P33" s="77" t="s">
        <v>57</v>
      </c>
      <c r="Q33" s="3">
        <f>9/12</f>
        <v>0.75</v>
      </c>
    </row>
    <row r="34" spans="1:20">
      <c r="B34" s="4"/>
      <c r="C34" s="84"/>
      <c r="D34" s="85">
        <f>D32*1.07</f>
        <v>89092998.442380518</v>
      </c>
      <c r="E34" s="86"/>
      <c r="F34" s="86"/>
      <c r="G34" s="86"/>
      <c r="H34" s="86"/>
      <c r="J34" s="87" t="s">
        <v>58</v>
      </c>
      <c r="K34" s="88">
        <f>NPV(0.1%,K7:K26)</f>
        <v>245863925.04116571</v>
      </c>
      <c r="L34" s="88"/>
      <c r="M34" s="88"/>
      <c r="N34" s="89" t="s">
        <v>58</v>
      </c>
      <c r="O34" s="89">
        <f>NPV(10%,O7:O26)</f>
        <v>75537031.012830883</v>
      </c>
      <c r="P34" s="90" t="s">
        <v>49</v>
      </c>
      <c r="R34" s="3">
        <f>(IF([1]การใช้ไฟย้อนหลัง!F23&gt;=1,1,[1]การใช้ไฟย้อนหลัง!F23))</f>
        <v>1</v>
      </c>
    </row>
    <row r="35" spans="1:20">
      <c r="B35" s="4"/>
      <c r="C35" s="91" t="s">
        <v>59</v>
      </c>
      <c r="D35" s="92">
        <f>AVERAGE(D6:D26)</f>
        <v>4173546.882170917</v>
      </c>
      <c r="E35" s="92">
        <f>D35*100/[1]การใช้ไฟย้อนหลัง!R21</f>
        <v>198.31388448397232</v>
      </c>
      <c r="F35" s="92"/>
      <c r="G35" s="92"/>
      <c r="H35" s="92"/>
      <c r="I35" s="87"/>
      <c r="N35" s="89" t="s">
        <v>60</v>
      </c>
      <c r="O35" s="93">
        <f>IRR(O6:O31,0.1)</f>
        <v>0.10558206881291898</v>
      </c>
      <c r="Q35" s="4"/>
    </row>
    <row r="36" spans="1:20">
      <c r="B36" s="4"/>
      <c r="C36" s="91"/>
      <c r="D36" s="92"/>
      <c r="E36" s="92"/>
      <c r="F36" s="92"/>
      <c r="G36" s="92"/>
      <c r="H36" s="92"/>
      <c r="I36" s="87"/>
      <c r="N36" s="89"/>
      <c r="O36" s="93"/>
      <c r="Q36" s="4"/>
    </row>
    <row r="37" spans="1:20">
      <c r="B37" s="4"/>
      <c r="C37" s="4"/>
      <c r="D37" s="52"/>
      <c r="E37" s="52"/>
      <c r="F37" s="52"/>
      <c r="G37" s="52"/>
      <c r="H37" s="52"/>
      <c r="I37" s="87"/>
      <c r="Q37" s="4"/>
      <c r="T37" s="94"/>
    </row>
    <row r="38" spans="1:20">
      <c r="C38" s="4"/>
      <c r="D38" s="95"/>
      <c r="E38" s="95"/>
      <c r="F38" s="95"/>
      <c r="G38" s="95"/>
      <c r="H38" s="95"/>
      <c r="I38" s="87"/>
      <c r="Q38" s="4"/>
    </row>
    <row r="39" spans="1:20">
      <c r="B39" s="94"/>
    </row>
    <row r="40" spans="1:20">
      <c r="B40" s="96"/>
      <c r="C40" s="50"/>
      <c r="D40" s="95"/>
      <c r="E40" s="95"/>
      <c r="F40" s="95"/>
      <c r="G40" s="95"/>
      <c r="H40" s="95"/>
      <c r="I40" s="87"/>
    </row>
    <row r="41" spans="1:20">
      <c r="C41" s="50"/>
      <c r="D41" s="95"/>
      <c r="E41" s="95"/>
      <c r="F41" s="95"/>
      <c r="G41" s="95"/>
      <c r="H41" s="95"/>
      <c r="I41" s="87"/>
    </row>
    <row r="45" spans="1:20">
      <c r="J45" s="3"/>
      <c r="K45" s="3"/>
    </row>
  </sheetData>
  <mergeCells count="20">
    <mergeCell ref="P16:Q16"/>
    <mergeCell ref="A2:O2"/>
    <mergeCell ref="A3:G3"/>
    <mergeCell ref="H3:J3"/>
    <mergeCell ref="L3:N4"/>
    <mergeCell ref="O3:O4"/>
    <mergeCell ref="A4:A5"/>
    <mergeCell ref="B4:B5"/>
    <mergeCell ref="C4:C5"/>
    <mergeCell ref="E4:G4"/>
    <mergeCell ref="P5:Q5"/>
    <mergeCell ref="P7:Q7"/>
    <mergeCell ref="P11:Q11"/>
    <mergeCell ref="P12:Q12"/>
    <mergeCell ref="P14:Q14"/>
    <mergeCell ref="P19:Q19"/>
    <mergeCell ref="P20:Q20"/>
    <mergeCell ref="P21:Q21"/>
    <mergeCell ref="P23:Q23"/>
    <mergeCell ref="P24:Q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8F4E-51E7-412E-8243-D3FF841002AD}">
  <dimension ref="A1:AA45"/>
  <sheetViews>
    <sheetView topLeftCell="N16" workbookViewId="0">
      <selection activeCell="O7" sqref="O7"/>
    </sheetView>
  </sheetViews>
  <sheetFormatPr defaultColWidth="10.28515625" defaultRowHeight="24"/>
  <cols>
    <col min="1" max="1" width="7.140625" style="3" customWidth="1"/>
    <col min="2" max="2" width="13" style="3" customWidth="1"/>
    <col min="3" max="3" width="16.42578125" style="3" customWidth="1"/>
    <col min="4" max="4" width="19.5703125" style="3" customWidth="1"/>
    <col min="5" max="5" width="16.42578125" style="3" customWidth="1"/>
    <col min="6" max="6" width="19.28515625" style="3" customWidth="1"/>
    <col min="7" max="7" width="15.7109375" style="3" customWidth="1"/>
    <col min="8" max="8" width="12.28515625" style="3" customWidth="1"/>
    <col min="9" max="9" width="16.140625" style="3" hidden="1" customWidth="1"/>
    <col min="10" max="10" width="21.42578125" style="4" customWidth="1"/>
    <col min="11" max="11" width="25.7109375" style="4" hidden="1" customWidth="1"/>
    <col min="12" max="12" width="19.140625" style="3" hidden="1" customWidth="1"/>
    <col min="13" max="13" width="19.7109375" style="3" hidden="1" customWidth="1"/>
    <col min="14" max="14" width="19.5703125" style="3" customWidth="1"/>
    <col min="15" max="15" width="21" style="3" customWidth="1"/>
    <col min="16" max="16" width="18.42578125" style="1" customWidth="1"/>
    <col min="17" max="17" width="20.28515625" style="3" customWidth="1"/>
    <col min="18" max="18" width="25.140625" style="3" bestFit="1" customWidth="1"/>
    <col min="19" max="19" width="14.28515625" style="3" customWidth="1"/>
    <col min="20" max="20" width="19.42578125" style="3" customWidth="1"/>
    <col min="21" max="21" width="12.42578125" style="3" customWidth="1"/>
    <col min="22" max="22" width="14.28515625" style="4" customWidth="1"/>
    <col min="23" max="23" width="17.5703125" style="5" bestFit="1" customWidth="1"/>
    <col min="24" max="24" width="19.140625" style="5" customWidth="1"/>
    <col min="25" max="25" width="16.7109375" style="5" bestFit="1" customWidth="1"/>
    <col min="26" max="26" width="14.42578125" style="3" customWidth="1"/>
    <col min="27" max="28" width="10.140625" style="3" customWidth="1"/>
    <col min="29" max="29" width="12.5703125" style="3" customWidth="1"/>
    <col min="30" max="35" width="10.140625" style="3" customWidth="1"/>
    <col min="36" max="16384" width="10.28515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1"/>
      <c r="M1" s="1"/>
      <c r="N1" s="1"/>
      <c r="O1" s="1"/>
    </row>
    <row r="2" spans="1:27" ht="30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7"/>
      <c r="S2" s="8"/>
    </row>
    <row r="3" spans="1:27" ht="30">
      <c r="A3" s="182" t="s">
        <v>2</v>
      </c>
      <c r="B3" s="183"/>
      <c r="C3" s="183"/>
      <c r="D3" s="183"/>
      <c r="E3" s="183"/>
      <c r="F3" s="183"/>
      <c r="G3" s="184"/>
      <c r="H3" s="182" t="s">
        <v>3</v>
      </c>
      <c r="I3" s="183"/>
      <c r="J3" s="184"/>
      <c r="K3" s="6"/>
      <c r="L3" s="185" t="s">
        <v>63</v>
      </c>
      <c r="M3" s="186"/>
      <c r="N3" s="187"/>
      <c r="O3" s="191" t="s">
        <v>5</v>
      </c>
      <c r="P3" s="7"/>
      <c r="S3" s="8"/>
    </row>
    <row r="4" spans="1:27" ht="72">
      <c r="A4" s="193" t="s">
        <v>6</v>
      </c>
      <c r="B4" s="195" t="s">
        <v>7</v>
      </c>
      <c r="C4" s="195" t="s">
        <v>8</v>
      </c>
      <c r="D4" s="10" t="s">
        <v>9</v>
      </c>
      <c r="E4" s="195" t="s">
        <v>10</v>
      </c>
      <c r="F4" s="195"/>
      <c r="G4" s="195"/>
      <c r="H4" s="9" t="s">
        <v>11</v>
      </c>
      <c r="I4" s="9" t="s">
        <v>12</v>
      </c>
      <c r="J4" s="9" t="s">
        <v>13</v>
      </c>
      <c r="K4" s="9"/>
      <c r="L4" s="188"/>
      <c r="M4" s="189"/>
      <c r="N4" s="190"/>
      <c r="O4" s="192"/>
      <c r="P4" s="7"/>
    </row>
    <row r="5" spans="1:27">
      <c r="A5" s="194"/>
      <c r="B5" s="195"/>
      <c r="C5" s="195"/>
      <c r="D5" s="9"/>
      <c r="E5" s="11" t="s">
        <v>14</v>
      </c>
      <c r="F5" s="11" t="s">
        <v>15</v>
      </c>
      <c r="G5" s="11" t="s">
        <v>16</v>
      </c>
      <c r="H5" s="9" t="s">
        <v>17</v>
      </c>
      <c r="I5" s="9" t="s">
        <v>17</v>
      </c>
      <c r="J5" s="9" t="s">
        <v>18</v>
      </c>
      <c r="K5" s="9"/>
      <c r="L5" s="9" t="s">
        <v>17</v>
      </c>
      <c r="M5" s="9" t="s">
        <v>17</v>
      </c>
      <c r="N5" s="9" t="s">
        <v>19</v>
      </c>
      <c r="O5" s="9" t="s">
        <v>19</v>
      </c>
      <c r="P5" s="179" t="s">
        <v>20</v>
      </c>
      <c r="Q5" s="180"/>
      <c r="R5" s="12">
        <v>3000000</v>
      </c>
      <c r="S5" s="13" t="s">
        <v>21</v>
      </c>
      <c r="T5" s="14">
        <f>R5*4/1000</f>
        <v>12000</v>
      </c>
      <c r="V5" s="104" t="s">
        <v>22</v>
      </c>
      <c r="W5" s="105">
        <v>25</v>
      </c>
    </row>
    <row r="6" spans="1:27">
      <c r="A6" s="15">
        <v>0</v>
      </c>
      <c r="B6" s="16"/>
      <c r="C6" s="17">
        <f>R5</f>
        <v>3000000</v>
      </c>
      <c r="D6" s="18">
        <f>R14</f>
        <v>4380000</v>
      </c>
      <c r="E6" s="19">
        <f>D6*$R$19/365</f>
        <v>2904000</v>
      </c>
      <c r="F6" s="20">
        <f>D6*$R$20*$R$21/365</f>
        <v>1180800</v>
      </c>
      <c r="G6" s="18">
        <f>E6+F6</f>
        <v>4084800</v>
      </c>
      <c r="H6" s="21"/>
      <c r="I6" s="21"/>
      <c r="J6" s="22"/>
      <c r="K6" s="22">
        <f>-125400000</f>
        <v>-125400000</v>
      </c>
      <c r="L6" s="16"/>
      <c r="M6" s="16"/>
      <c r="N6" s="16"/>
      <c r="O6" s="23">
        <f>-W8</f>
        <v>-77000000</v>
      </c>
      <c r="P6" s="24"/>
      <c r="Q6" s="25"/>
      <c r="R6" s="26"/>
      <c r="S6" s="13"/>
      <c r="V6" s="104" t="s">
        <v>23</v>
      </c>
      <c r="W6" s="105">
        <f>R5*W5</f>
        <v>75000000</v>
      </c>
    </row>
    <row r="7" spans="1:27" ht="25.5">
      <c r="A7" s="27">
        <v>1</v>
      </c>
      <c r="B7" s="28">
        <v>1.7500000000000002E-2</v>
      </c>
      <c r="C7" s="29">
        <f>C6*(1-B7)</f>
        <v>2947500</v>
      </c>
      <c r="D7" s="30">
        <f>D6*(1-B7)</f>
        <v>4303350</v>
      </c>
      <c r="E7" s="19">
        <f t="shared" ref="E7:E31" si="0">D7*$R$19/365</f>
        <v>2853180</v>
      </c>
      <c r="F7" s="20">
        <f>D7*$R$20*$R$21/365</f>
        <v>1160136</v>
      </c>
      <c r="G7" s="18">
        <f t="shared" ref="G7:G31" si="1">E7+F7</f>
        <v>4013316</v>
      </c>
      <c r="H7" s="31">
        <v>5</v>
      </c>
      <c r="I7" s="31">
        <v>0</v>
      </c>
      <c r="J7" s="32">
        <f>(G6*H7)</f>
        <v>20424000</v>
      </c>
      <c r="K7" s="32">
        <f>(E7*H7)</f>
        <v>14265900</v>
      </c>
      <c r="L7" s="32">
        <v>0</v>
      </c>
      <c r="M7" s="32">
        <v>0</v>
      </c>
      <c r="N7" s="32">
        <f>J7*0.5</f>
        <v>10212000</v>
      </c>
      <c r="O7" s="33">
        <f t="shared" ref="O7:O23" si="2">J7-N7</f>
        <v>10212000</v>
      </c>
      <c r="P7" s="179" t="s">
        <v>24</v>
      </c>
      <c r="Q7" s="180"/>
      <c r="R7" s="12">
        <f>T7</f>
        <v>4380000</v>
      </c>
      <c r="S7" s="13" t="s">
        <v>25</v>
      </c>
      <c r="T7" s="14">
        <f>T5*365</f>
        <v>4380000</v>
      </c>
      <c r="V7" s="106" t="s">
        <v>26</v>
      </c>
      <c r="W7" s="107">
        <v>2000000</v>
      </c>
    </row>
    <row r="8" spans="1:27" ht="25.5">
      <c r="A8" s="27">
        <v>2</v>
      </c>
      <c r="B8" s="28">
        <v>3.5000000000000001E-3</v>
      </c>
      <c r="C8" s="29">
        <f t="shared" ref="C8:C31" si="3">C7*(1-B8)</f>
        <v>2937183.75</v>
      </c>
      <c r="D8" s="30">
        <f>D7*(1-B8)</f>
        <v>4288288.2750000004</v>
      </c>
      <c r="E8" s="19">
        <f t="shared" si="0"/>
        <v>2843193.87</v>
      </c>
      <c r="F8" s="20">
        <f t="shared" ref="F8:F31" si="4">D8*$R$20*$R$21/365</f>
        <v>1156075.5240000002</v>
      </c>
      <c r="G8" s="18">
        <f t="shared" si="1"/>
        <v>3999269.3940000003</v>
      </c>
      <c r="H8" s="31">
        <v>5</v>
      </c>
      <c r="I8" s="31">
        <v>0</v>
      </c>
      <c r="J8" s="32">
        <f t="shared" ref="J8:J31" si="5">(G7*H8)</f>
        <v>20066580</v>
      </c>
      <c r="K8" s="32">
        <f t="shared" ref="K8:K31" si="6">(E8*H8)</f>
        <v>14215969.350000001</v>
      </c>
      <c r="L8" s="32">
        <v>0</v>
      </c>
      <c r="M8" s="32">
        <v>0</v>
      </c>
      <c r="N8" s="32">
        <f t="shared" ref="N8:N31" si="7">J8*0.5</f>
        <v>10033290</v>
      </c>
      <c r="O8" s="33">
        <f t="shared" si="2"/>
        <v>10033290</v>
      </c>
      <c r="P8" s="34" t="s">
        <v>27</v>
      </c>
      <c r="Q8" s="35">
        <f>SUM(O7:O12)</f>
        <v>60028511.778644085</v>
      </c>
      <c r="R8" s="25"/>
      <c r="S8" s="13"/>
      <c r="V8" s="106" t="s">
        <v>28</v>
      </c>
      <c r="W8" s="107">
        <f>W6+W7</f>
        <v>77000000</v>
      </c>
    </row>
    <row r="9" spans="1:27" ht="25.5">
      <c r="A9" s="27">
        <v>3</v>
      </c>
      <c r="B9" s="28">
        <v>3.5000000000000001E-3</v>
      </c>
      <c r="C9" s="29">
        <f t="shared" si="3"/>
        <v>2926903.6068750001</v>
      </c>
      <c r="D9" s="30">
        <f t="shared" ref="D9:D31" si="8">D8*(1-B9)</f>
        <v>4273279.2660375005</v>
      </c>
      <c r="E9" s="19">
        <f t="shared" si="0"/>
        <v>2833242.6914550005</v>
      </c>
      <c r="F9" s="20">
        <f t="shared" si="4"/>
        <v>1152029.2596660003</v>
      </c>
      <c r="G9" s="18">
        <f t="shared" si="1"/>
        <v>3985271.9511210006</v>
      </c>
      <c r="H9" s="31">
        <v>5</v>
      </c>
      <c r="I9" s="31">
        <v>0</v>
      </c>
      <c r="J9" s="32">
        <f t="shared" si="5"/>
        <v>19996346.970000003</v>
      </c>
      <c r="K9" s="32">
        <f t="shared" si="6"/>
        <v>14166213.457275003</v>
      </c>
      <c r="L9" s="32">
        <v>0</v>
      </c>
      <c r="M9" s="32">
        <v>0</v>
      </c>
      <c r="N9" s="32">
        <f t="shared" si="7"/>
        <v>9998173.4850000013</v>
      </c>
      <c r="O9" s="33">
        <f t="shared" si="2"/>
        <v>9998173.4850000013</v>
      </c>
      <c r="P9" s="36" t="s">
        <v>29</v>
      </c>
      <c r="Q9" s="37">
        <f>SUM(N7:N12)</f>
        <v>60028511.778644085</v>
      </c>
      <c r="R9" s="38">
        <f>Q9*0.3</f>
        <v>18008553.533593226</v>
      </c>
      <c r="S9" s="39">
        <f>Q9-R9</f>
        <v>42019958.245050862</v>
      </c>
      <c r="V9" s="4" t="s">
        <v>27</v>
      </c>
      <c r="W9" s="5">
        <f>W8/O12</f>
        <v>7.7828408163419089</v>
      </c>
    </row>
    <row r="10" spans="1:27" ht="25.5">
      <c r="A10" s="27">
        <v>4</v>
      </c>
      <c r="B10" s="28">
        <v>3.5000000000000001E-3</v>
      </c>
      <c r="C10" s="29">
        <f t="shared" si="3"/>
        <v>2916659.4442509376</v>
      </c>
      <c r="D10" s="30">
        <f t="shared" si="8"/>
        <v>4258322.7886063699</v>
      </c>
      <c r="E10" s="19">
        <f t="shared" si="0"/>
        <v>2823326.342034908</v>
      </c>
      <c r="F10" s="20">
        <f t="shared" si="4"/>
        <v>1147997.1572571695</v>
      </c>
      <c r="G10" s="18">
        <f t="shared" si="1"/>
        <v>3971323.4992920775</v>
      </c>
      <c r="H10" s="31">
        <v>5</v>
      </c>
      <c r="I10" s="31">
        <v>0</v>
      </c>
      <c r="J10" s="32">
        <f t="shared" si="5"/>
        <v>19926359.755605005</v>
      </c>
      <c r="K10" s="32">
        <f t="shared" si="6"/>
        <v>14116631.71017454</v>
      </c>
      <c r="L10" s="32">
        <v>0</v>
      </c>
      <c r="M10" s="32">
        <v>0</v>
      </c>
      <c r="N10" s="32">
        <f t="shared" si="7"/>
        <v>9963179.8778025024</v>
      </c>
      <c r="O10" s="33">
        <f t="shared" si="2"/>
        <v>9963179.8778025024</v>
      </c>
      <c r="P10" s="40"/>
      <c r="Q10" s="25"/>
      <c r="R10" s="41">
        <f>R9/10/12</f>
        <v>150071.27944661022</v>
      </c>
      <c r="S10" s="39">
        <f>S9/12/10</f>
        <v>350166.31870875717</v>
      </c>
      <c r="U10" s="14">
        <v>8</v>
      </c>
      <c r="V10" s="4" t="s">
        <v>31</v>
      </c>
      <c r="W10" s="5">
        <f>SUM(J7:J14)</f>
        <v>159423739.86692575</v>
      </c>
    </row>
    <row r="11" spans="1:27" ht="25.5">
      <c r="A11" s="27">
        <v>5</v>
      </c>
      <c r="B11" s="28">
        <v>3.5000000000000001E-3</v>
      </c>
      <c r="C11" s="29">
        <f t="shared" si="3"/>
        <v>2906451.1361960596</v>
      </c>
      <c r="D11" s="30">
        <f t="shared" si="8"/>
        <v>4243418.6588462479</v>
      </c>
      <c r="E11" s="19">
        <f t="shared" si="0"/>
        <v>2813444.6998377861</v>
      </c>
      <c r="F11" s="20">
        <f t="shared" si="4"/>
        <v>1143979.1672067693</v>
      </c>
      <c r="G11" s="18">
        <f t="shared" si="1"/>
        <v>3957423.8670445555</v>
      </c>
      <c r="H11" s="31">
        <v>5</v>
      </c>
      <c r="I11" s="31">
        <v>0</v>
      </c>
      <c r="J11" s="32">
        <f t="shared" si="5"/>
        <v>19856617.496460386</v>
      </c>
      <c r="K11" s="32">
        <f t="shared" si="6"/>
        <v>14067223.49918893</v>
      </c>
      <c r="L11" s="32">
        <v>0</v>
      </c>
      <c r="M11" s="32">
        <v>0</v>
      </c>
      <c r="N11" s="32">
        <f t="shared" si="7"/>
        <v>9928308.7482301928</v>
      </c>
      <c r="O11" s="33">
        <f t="shared" si="2"/>
        <v>9928308.7482301928</v>
      </c>
      <c r="P11" s="179" t="s">
        <v>32</v>
      </c>
      <c r="Q11" s="180"/>
      <c r="R11" s="12">
        <f>[1]asm!C22</f>
        <v>10</v>
      </c>
      <c r="S11" s="13" t="s">
        <v>33</v>
      </c>
      <c r="U11" s="14">
        <v>8</v>
      </c>
      <c r="V11" s="4" t="s">
        <v>34</v>
      </c>
      <c r="W11" s="5">
        <f>SUM(N7:N14)</f>
        <v>79711869.933462873</v>
      </c>
      <c r="X11" s="42">
        <f>W11/U11</f>
        <v>9963983.7416828591</v>
      </c>
    </row>
    <row r="12" spans="1:27" ht="25.5">
      <c r="A12" s="27">
        <v>6</v>
      </c>
      <c r="B12" s="28">
        <v>3.5000000000000001E-3</v>
      </c>
      <c r="C12" s="29">
        <f t="shared" si="3"/>
        <v>2896278.5572193735</v>
      </c>
      <c r="D12" s="30">
        <f t="shared" si="8"/>
        <v>4228566.6935402863</v>
      </c>
      <c r="E12" s="19">
        <f t="shared" si="0"/>
        <v>2803597.6433883542</v>
      </c>
      <c r="F12" s="20">
        <f t="shared" si="4"/>
        <v>1139975.2401215457</v>
      </c>
      <c r="G12" s="18">
        <f t="shared" si="1"/>
        <v>3943572.8835099</v>
      </c>
      <c r="H12" s="31">
        <v>5</v>
      </c>
      <c r="I12" s="31">
        <v>0</v>
      </c>
      <c r="J12" s="32">
        <f t="shared" si="5"/>
        <v>19787119.335222777</v>
      </c>
      <c r="K12" s="32">
        <f t="shared" si="6"/>
        <v>14017988.21694177</v>
      </c>
      <c r="L12" s="32">
        <v>0</v>
      </c>
      <c r="M12" s="32">
        <v>0</v>
      </c>
      <c r="N12" s="32">
        <f t="shared" si="7"/>
        <v>9893559.6676113885</v>
      </c>
      <c r="O12" s="33">
        <f t="shared" si="2"/>
        <v>9893559.6676113885</v>
      </c>
      <c r="P12" s="196" t="s">
        <v>35</v>
      </c>
      <c r="Q12" s="197"/>
      <c r="R12" s="43">
        <f>R11*100/365</f>
        <v>2.7397260273972601</v>
      </c>
      <c r="S12" s="13"/>
      <c r="V12" s="4" t="s">
        <v>36</v>
      </c>
      <c r="W12" s="5">
        <f>W11*30%</f>
        <v>23913560.980038863</v>
      </c>
      <c r="X12" s="5">
        <f>W12/U11</f>
        <v>2989195.1225048578</v>
      </c>
      <c r="Y12" s="5">
        <f>X12/12</f>
        <v>249099.5935420715</v>
      </c>
      <c r="Z12" s="3">
        <f>X12*100/X11</f>
        <v>30</v>
      </c>
    </row>
    <row r="13" spans="1:27">
      <c r="A13" s="15">
        <v>7</v>
      </c>
      <c r="B13" s="28">
        <v>3.5000000000000001E-3</v>
      </c>
      <c r="C13" s="29">
        <f t="shared" si="3"/>
        <v>2886141.5822691061</v>
      </c>
      <c r="D13" s="30">
        <f t="shared" si="8"/>
        <v>4213766.7101128958</v>
      </c>
      <c r="E13" s="19">
        <f t="shared" si="0"/>
        <v>2793785.0516364952</v>
      </c>
      <c r="F13" s="20">
        <f t="shared" si="4"/>
        <v>1135985.3267811206</v>
      </c>
      <c r="G13" s="18">
        <f t="shared" si="1"/>
        <v>3929770.3784176158</v>
      </c>
      <c r="H13" s="31">
        <v>5</v>
      </c>
      <c r="I13" s="31">
        <v>0</v>
      </c>
      <c r="J13" s="32">
        <f t="shared" si="5"/>
        <v>19717864.417549498</v>
      </c>
      <c r="K13" s="32">
        <f t="shared" si="6"/>
        <v>13968925.258182475</v>
      </c>
      <c r="L13" s="32">
        <v>0</v>
      </c>
      <c r="M13" s="32">
        <v>0</v>
      </c>
      <c r="N13" s="32">
        <f t="shared" si="7"/>
        <v>9858932.2087747492</v>
      </c>
      <c r="O13" s="33">
        <f t="shared" si="2"/>
        <v>9858932.2087747492</v>
      </c>
      <c r="P13" s="40"/>
      <c r="Q13" s="35">
        <f>SUM(O7:O14)</f>
        <v>79711869.933462873</v>
      </c>
      <c r="R13" s="45">
        <f>O12/12*9</f>
        <v>7420169.7507085418</v>
      </c>
      <c r="S13" s="46">
        <f>SUM(Q13:R13)</f>
        <v>87132039.684171408</v>
      </c>
      <c r="V13" s="4" t="s">
        <v>37</v>
      </c>
      <c r="W13" s="5">
        <f>W11*40%</f>
        <v>31884747.973385151</v>
      </c>
      <c r="X13" s="5">
        <f>W13/U11</f>
        <v>3985593.4966731439</v>
      </c>
      <c r="Y13" s="5">
        <f>X13/10</f>
        <v>398559.34966731438</v>
      </c>
      <c r="Z13" s="3">
        <f>X13*100/X11</f>
        <v>40.000000000000007</v>
      </c>
    </row>
    <row r="14" spans="1:27">
      <c r="A14" s="15">
        <v>8</v>
      </c>
      <c r="B14" s="28">
        <v>3.5000000000000001E-3</v>
      </c>
      <c r="C14" s="29">
        <f t="shared" si="3"/>
        <v>2876040.0867311643</v>
      </c>
      <c r="D14" s="30">
        <f t="shared" si="8"/>
        <v>4199018.5266275005</v>
      </c>
      <c r="E14" s="19">
        <f t="shared" si="0"/>
        <v>2784006.8039557678</v>
      </c>
      <c r="F14" s="20">
        <f t="shared" si="4"/>
        <v>1132009.3781373864</v>
      </c>
      <c r="G14" s="18">
        <f t="shared" si="1"/>
        <v>3916016.1820931542</v>
      </c>
      <c r="H14" s="31">
        <v>5</v>
      </c>
      <c r="I14" s="31">
        <v>0</v>
      </c>
      <c r="J14" s="32">
        <f t="shared" si="5"/>
        <v>19648851.892088078</v>
      </c>
      <c r="K14" s="32">
        <f t="shared" si="6"/>
        <v>13920034.019778838</v>
      </c>
      <c r="L14" s="32">
        <v>0</v>
      </c>
      <c r="M14" s="32">
        <v>0</v>
      </c>
      <c r="N14" s="32">
        <f t="shared" si="7"/>
        <v>9824425.946044039</v>
      </c>
      <c r="O14" s="33">
        <f t="shared" si="2"/>
        <v>9824425.946044039</v>
      </c>
      <c r="P14" s="179" t="s">
        <v>38</v>
      </c>
      <c r="Q14" s="180"/>
      <c r="R14" s="12">
        <f>R7</f>
        <v>4380000</v>
      </c>
      <c r="S14" s="13" t="s">
        <v>25</v>
      </c>
      <c r="V14" s="4" t="s">
        <v>39</v>
      </c>
      <c r="W14" s="5">
        <f>W11*20%</f>
        <v>15942373.986692576</v>
      </c>
      <c r="X14" s="5">
        <f>W14/U11</f>
        <v>1992796.748336572</v>
      </c>
      <c r="Y14" s="5">
        <f>X14/12</f>
        <v>166066.39569471433</v>
      </c>
      <c r="Z14" s="3">
        <f>X14*100/X11</f>
        <v>20.000000000000004</v>
      </c>
    </row>
    <row r="15" spans="1:27">
      <c r="A15" s="15">
        <v>9</v>
      </c>
      <c r="B15" s="28">
        <v>3.5000000000000001E-3</v>
      </c>
      <c r="C15" s="29">
        <f t="shared" si="3"/>
        <v>2865973.9464276051</v>
      </c>
      <c r="D15" s="30">
        <f t="shared" si="8"/>
        <v>4184321.9617843046</v>
      </c>
      <c r="E15" s="19">
        <f t="shared" si="0"/>
        <v>2774262.7801419226</v>
      </c>
      <c r="F15" s="20">
        <f t="shared" si="4"/>
        <v>1128047.3453139057</v>
      </c>
      <c r="G15" s="18">
        <f t="shared" si="1"/>
        <v>3902310.1254558284</v>
      </c>
      <c r="H15" s="31">
        <v>5</v>
      </c>
      <c r="I15" s="31">
        <v>0</v>
      </c>
      <c r="J15" s="32">
        <f t="shared" si="5"/>
        <v>19580080.910465769</v>
      </c>
      <c r="K15" s="32">
        <f t="shared" si="6"/>
        <v>13871313.900709614</v>
      </c>
      <c r="L15" s="32">
        <v>0</v>
      </c>
      <c r="M15" s="32">
        <v>0</v>
      </c>
      <c r="N15" s="32">
        <f t="shared" si="7"/>
        <v>9790040.4552328847</v>
      </c>
      <c r="O15" s="44">
        <f t="shared" si="2"/>
        <v>9790040.4552328847</v>
      </c>
      <c r="P15" s="40"/>
      <c r="Q15" s="25"/>
      <c r="R15" s="47"/>
      <c r="S15" s="13"/>
      <c r="V15" s="4" t="s">
        <v>40</v>
      </c>
      <c r="W15" s="5">
        <f>W11-W12-W13-W14</f>
        <v>7971186.9933462795</v>
      </c>
      <c r="X15" s="5">
        <f>W15/U11</f>
        <v>996398.37416828494</v>
      </c>
      <c r="Y15" s="5">
        <f>X15/12</f>
        <v>83033.197847357078</v>
      </c>
      <c r="Z15" s="3">
        <f>100-Z12-Z13-Z14</f>
        <v>9.9999999999999893</v>
      </c>
    </row>
    <row r="16" spans="1:27">
      <c r="A16" s="15">
        <v>10</v>
      </c>
      <c r="B16" s="28">
        <v>3.5000000000000001E-3</v>
      </c>
      <c r="C16" s="29">
        <f t="shared" si="3"/>
        <v>2855943.0376151088</v>
      </c>
      <c r="D16" s="30">
        <f t="shared" si="8"/>
        <v>4169676.8349180599</v>
      </c>
      <c r="E16" s="19">
        <f t="shared" si="0"/>
        <v>2764552.8604114261</v>
      </c>
      <c r="F16" s="20">
        <f t="shared" si="4"/>
        <v>1124099.1796053071</v>
      </c>
      <c r="G16" s="18">
        <f t="shared" si="1"/>
        <v>3888652.0400167331</v>
      </c>
      <c r="H16" s="31">
        <v>5</v>
      </c>
      <c r="I16" s="31">
        <v>0</v>
      </c>
      <c r="J16" s="32">
        <f t="shared" si="5"/>
        <v>19511550.62727914</v>
      </c>
      <c r="K16" s="32">
        <f t="shared" si="6"/>
        <v>13822764.30205713</v>
      </c>
      <c r="L16" s="32">
        <v>0</v>
      </c>
      <c r="M16" s="32">
        <v>0</v>
      </c>
      <c r="N16" s="32">
        <f t="shared" si="7"/>
        <v>9755775.31363957</v>
      </c>
      <c r="O16" s="44">
        <f t="shared" si="2"/>
        <v>9755775.31363957</v>
      </c>
      <c r="P16" s="179" t="s">
        <v>41</v>
      </c>
      <c r="Q16" s="180"/>
      <c r="R16" s="48">
        <v>0.25</v>
      </c>
      <c r="S16" s="13"/>
      <c r="V16" s="49"/>
      <c r="W16" s="97" t="s">
        <v>34</v>
      </c>
      <c r="X16" s="97" t="s">
        <v>66</v>
      </c>
      <c r="Y16" s="97" t="s">
        <v>67</v>
      </c>
      <c r="Z16" s="50"/>
      <c r="AA16" s="4"/>
    </row>
    <row r="17" spans="1:27">
      <c r="A17" s="15">
        <v>11</v>
      </c>
      <c r="B17" s="28">
        <v>3.5000000000000001E-3</v>
      </c>
      <c r="C17" s="29">
        <f t="shared" si="3"/>
        <v>2845947.2369834562</v>
      </c>
      <c r="D17" s="30">
        <f t="shared" si="8"/>
        <v>4155082.9659958468</v>
      </c>
      <c r="E17" s="19">
        <f t="shared" si="0"/>
        <v>2754876.9253999861</v>
      </c>
      <c r="F17" s="20">
        <f>D17*$R$20*$R$21/365</f>
        <v>1120164.8324766885</v>
      </c>
      <c r="G17" s="18">
        <f t="shared" si="1"/>
        <v>3875041.7578766746</v>
      </c>
      <c r="H17" s="31">
        <v>5</v>
      </c>
      <c r="I17" s="31">
        <v>0</v>
      </c>
      <c r="J17" s="32">
        <f t="shared" si="5"/>
        <v>19443260.200083666</v>
      </c>
      <c r="K17" s="32">
        <f t="shared" si="6"/>
        <v>13774384.62699993</v>
      </c>
      <c r="L17" s="32">
        <v>0</v>
      </c>
      <c r="M17" s="32">
        <v>0</v>
      </c>
      <c r="N17" s="32">
        <f t="shared" si="7"/>
        <v>9721630.1000418328</v>
      </c>
      <c r="O17" s="44">
        <f t="shared" si="2"/>
        <v>9721630.1000418328</v>
      </c>
      <c r="P17" s="40"/>
      <c r="Q17" s="25"/>
      <c r="R17" s="47"/>
      <c r="S17" s="25"/>
      <c r="U17" s="51"/>
      <c r="V17" s="4" t="s">
        <v>64</v>
      </c>
      <c r="W17" s="5">
        <f>SUM(J7:J21)</f>
        <v>295053535.9322294</v>
      </c>
      <c r="X17" s="5">
        <f>W17-W8</f>
        <v>218053535.9322294</v>
      </c>
      <c r="Y17" s="5">
        <f>X17*100/W8</f>
        <v>283.1864103015966</v>
      </c>
      <c r="Z17" s="5"/>
      <c r="AA17" s="53"/>
    </row>
    <row r="18" spans="1:27">
      <c r="A18" s="15">
        <v>12</v>
      </c>
      <c r="B18" s="28">
        <v>3.5000000000000001E-3</v>
      </c>
      <c r="C18" s="29">
        <f t="shared" si="3"/>
        <v>2835986.4216540144</v>
      </c>
      <c r="D18" s="30">
        <f t="shared" si="8"/>
        <v>4140540.1756148613</v>
      </c>
      <c r="E18" s="19">
        <f t="shared" si="0"/>
        <v>2745234.8561610864</v>
      </c>
      <c r="F18" s="20">
        <f t="shared" si="4"/>
        <v>1116244.2555630202</v>
      </c>
      <c r="G18" s="18">
        <f t="shared" si="1"/>
        <v>3861479.1117241066</v>
      </c>
      <c r="H18" s="31">
        <v>5</v>
      </c>
      <c r="I18" s="31">
        <v>0</v>
      </c>
      <c r="J18" s="32">
        <f t="shared" si="5"/>
        <v>19375208.789383374</v>
      </c>
      <c r="K18" s="32">
        <f t="shared" si="6"/>
        <v>13726174.280805431</v>
      </c>
      <c r="L18" s="32">
        <v>0</v>
      </c>
      <c r="M18" s="32">
        <v>0</v>
      </c>
      <c r="N18" s="32">
        <f t="shared" si="7"/>
        <v>9687604.3946916871</v>
      </c>
      <c r="O18" s="44">
        <f t="shared" si="2"/>
        <v>9687604.3946916871</v>
      </c>
      <c r="P18" s="40"/>
      <c r="Q18" s="25"/>
      <c r="R18" s="25"/>
      <c r="S18" s="25"/>
      <c r="V18" s="4" t="s">
        <v>65</v>
      </c>
      <c r="W18" s="5">
        <f>J32</f>
        <v>483126118.96026826</v>
      </c>
      <c r="X18" s="5">
        <f>W18-W8</f>
        <v>406126118.96026826</v>
      </c>
      <c r="Y18" s="5">
        <f>X18*100/W8</f>
        <v>527.43651813021847</v>
      </c>
      <c r="Z18" s="5"/>
    </row>
    <row r="19" spans="1:27">
      <c r="A19" s="15">
        <v>13</v>
      </c>
      <c r="B19" s="28">
        <v>3.5000000000000001E-3</v>
      </c>
      <c r="C19" s="29">
        <f t="shared" si="3"/>
        <v>2826060.4691782254</v>
      </c>
      <c r="D19" s="30">
        <f t="shared" si="8"/>
        <v>4126048.2850002097</v>
      </c>
      <c r="E19" s="19">
        <f t="shared" si="0"/>
        <v>2735626.5341645223</v>
      </c>
      <c r="F19" s="20">
        <f t="shared" si="4"/>
        <v>1112337.4006685498</v>
      </c>
      <c r="G19" s="18">
        <f t="shared" si="1"/>
        <v>3847963.9348330721</v>
      </c>
      <c r="H19" s="31">
        <v>5</v>
      </c>
      <c r="I19" s="31">
        <v>0</v>
      </c>
      <c r="J19" s="32">
        <f t="shared" si="5"/>
        <v>19307395.558620535</v>
      </c>
      <c r="K19" s="32">
        <f t="shared" si="6"/>
        <v>13678132.670822611</v>
      </c>
      <c r="L19" s="32">
        <v>0</v>
      </c>
      <c r="M19" s="32">
        <v>0</v>
      </c>
      <c r="N19" s="32">
        <f t="shared" si="7"/>
        <v>9653697.7793102674</v>
      </c>
      <c r="O19" s="44">
        <f t="shared" si="2"/>
        <v>9653697.7793102674</v>
      </c>
      <c r="P19" s="179" t="s">
        <v>43</v>
      </c>
      <c r="Q19" s="180"/>
      <c r="R19" s="54">
        <f>[1]asm!C24</f>
        <v>242</v>
      </c>
      <c r="S19" s="13" t="s">
        <v>33</v>
      </c>
      <c r="T19" s="55"/>
      <c r="W19" s="5">
        <f>W18-W17</f>
        <v>188072583.02803886</v>
      </c>
      <c r="X19" s="5">
        <f>X18-X17</f>
        <v>188072583.02803886</v>
      </c>
      <c r="Y19" s="5">
        <f>Y18-Y17</f>
        <v>244.25010782862188</v>
      </c>
      <c r="Z19" s="5"/>
    </row>
    <row r="20" spans="1:27">
      <c r="A20" s="15">
        <v>14</v>
      </c>
      <c r="B20" s="28">
        <v>3.5000000000000001E-3</v>
      </c>
      <c r="C20" s="29">
        <f t="shared" si="3"/>
        <v>2816169.2575361016</v>
      </c>
      <c r="D20" s="30">
        <f t="shared" si="8"/>
        <v>4111607.1160027091</v>
      </c>
      <c r="E20" s="19">
        <f t="shared" si="0"/>
        <v>2726051.8412949466</v>
      </c>
      <c r="F20" s="20">
        <f t="shared" si="4"/>
        <v>1108444.2197662098</v>
      </c>
      <c r="G20" s="18">
        <f t="shared" si="1"/>
        <v>3834496.0610611564</v>
      </c>
      <c r="H20" s="31">
        <v>5</v>
      </c>
      <c r="I20" s="31">
        <v>0</v>
      </c>
      <c r="J20" s="32">
        <f t="shared" si="5"/>
        <v>19239819.674165361</v>
      </c>
      <c r="K20" s="32">
        <f t="shared" si="6"/>
        <v>13630259.206474733</v>
      </c>
      <c r="L20" s="32">
        <v>0</v>
      </c>
      <c r="M20" s="32">
        <v>0</v>
      </c>
      <c r="N20" s="32">
        <f t="shared" si="7"/>
        <v>9619909.8370826803</v>
      </c>
      <c r="O20" s="44">
        <f t="shared" si="2"/>
        <v>9619909.8370826803</v>
      </c>
      <c r="P20" s="179" t="s">
        <v>44</v>
      </c>
      <c r="Q20" s="180"/>
      <c r="R20" s="56">
        <f>365-R19</f>
        <v>123</v>
      </c>
      <c r="S20" s="13" t="s">
        <v>33</v>
      </c>
      <c r="T20" s="55"/>
      <c r="Z20" s="5"/>
    </row>
    <row r="21" spans="1:27">
      <c r="A21" s="15">
        <v>15</v>
      </c>
      <c r="B21" s="28">
        <v>3.5000000000000001E-3</v>
      </c>
      <c r="C21" s="29">
        <f t="shared" si="3"/>
        <v>2806312.6651347256</v>
      </c>
      <c r="D21" s="30">
        <f t="shared" si="8"/>
        <v>4097216.4910967001</v>
      </c>
      <c r="E21" s="19">
        <f t="shared" si="0"/>
        <v>2716510.6598504148</v>
      </c>
      <c r="F21" s="20">
        <f t="shared" si="4"/>
        <v>1104564.6649970284</v>
      </c>
      <c r="G21" s="18">
        <f t="shared" si="1"/>
        <v>3821075.324847443</v>
      </c>
      <c r="H21" s="31">
        <v>5</v>
      </c>
      <c r="I21" s="31">
        <v>0</v>
      </c>
      <c r="J21" s="32">
        <f t="shared" si="5"/>
        <v>19172480.305305783</v>
      </c>
      <c r="K21" s="32">
        <f t="shared" si="6"/>
        <v>13582553.299252074</v>
      </c>
      <c r="L21" s="32">
        <v>0</v>
      </c>
      <c r="M21" s="32">
        <v>0</v>
      </c>
      <c r="N21" s="32">
        <f t="shared" si="7"/>
        <v>9586240.1526528914</v>
      </c>
      <c r="O21" s="44">
        <f t="shared" si="2"/>
        <v>9586240.1526528914</v>
      </c>
      <c r="P21" s="179" t="s">
        <v>45</v>
      </c>
      <c r="Q21" s="180"/>
      <c r="R21" s="57">
        <v>0.8</v>
      </c>
      <c r="S21" s="25"/>
    </row>
    <row r="22" spans="1:27">
      <c r="A22" s="15">
        <v>16</v>
      </c>
      <c r="B22" s="28">
        <v>3.5000000000000001E-3</v>
      </c>
      <c r="C22" s="29">
        <f t="shared" si="3"/>
        <v>2796490.5708067543</v>
      </c>
      <c r="D22" s="30">
        <f t="shared" si="8"/>
        <v>4082876.2333778618</v>
      </c>
      <c r="E22" s="19">
        <f t="shared" si="0"/>
        <v>2707002.8725409382</v>
      </c>
      <c r="F22" s="20">
        <f t="shared" si="4"/>
        <v>1100698.6886695386</v>
      </c>
      <c r="G22" s="18">
        <f t="shared" si="1"/>
        <v>3807701.5612104768</v>
      </c>
      <c r="H22" s="31">
        <v>5</v>
      </c>
      <c r="I22" s="31">
        <v>0</v>
      </c>
      <c r="J22" s="32">
        <f t="shared" si="5"/>
        <v>19105376.624237217</v>
      </c>
      <c r="K22" s="32">
        <f t="shared" si="6"/>
        <v>13535014.362704691</v>
      </c>
      <c r="L22" s="32">
        <v>0</v>
      </c>
      <c r="M22" s="32">
        <v>0</v>
      </c>
      <c r="N22" s="32">
        <f t="shared" si="7"/>
        <v>9552688.3121186085</v>
      </c>
      <c r="O22" s="44">
        <f t="shared" si="2"/>
        <v>9552688.3121186085</v>
      </c>
      <c r="P22" s="40"/>
      <c r="Q22" s="25"/>
      <c r="R22" s="25"/>
      <c r="S22" s="25"/>
      <c r="V22" s="58"/>
      <c r="Z22" s="59"/>
      <c r="AA22" s="59"/>
    </row>
    <row r="23" spans="1:27">
      <c r="A23" s="15">
        <v>17</v>
      </c>
      <c r="B23" s="28">
        <v>3.5000000000000001E-3</v>
      </c>
      <c r="C23" s="29">
        <f t="shared" si="3"/>
        <v>2786702.8538089306</v>
      </c>
      <c r="D23" s="30">
        <f t="shared" si="8"/>
        <v>4068586.1665610396</v>
      </c>
      <c r="E23" s="19">
        <f t="shared" si="0"/>
        <v>2697528.3624870456</v>
      </c>
      <c r="F23" s="20">
        <f t="shared" si="4"/>
        <v>1096846.2432591955</v>
      </c>
      <c r="G23" s="18">
        <f t="shared" si="1"/>
        <v>3794374.6057462413</v>
      </c>
      <c r="H23" s="31">
        <v>5</v>
      </c>
      <c r="I23" s="31">
        <v>0</v>
      </c>
      <c r="J23" s="32">
        <f t="shared" si="5"/>
        <v>19038507.806052383</v>
      </c>
      <c r="K23" s="32">
        <f t="shared" si="6"/>
        <v>13487641.812435228</v>
      </c>
      <c r="L23" s="32">
        <v>0</v>
      </c>
      <c r="M23" s="32">
        <v>0</v>
      </c>
      <c r="N23" s="32">
        <f t="shared" si="7"/>
        <v>9519253.9030261915</v>
      </c>
      <c r="O23" s="44">
        <f t="shared" si="2"/>
        <v>9519253.9030261915</v>
      </c>
      <c r="P23" s="179" t="s">
        <v>46</v>
      </c>
      <c r="Q23" s="180"/>
      <c r="R23" s="60">
        <v>6.6</v>
      </c>
      <c r="S23" s="61"/>
      <c r="T23" s="14"/>
      <c r="V23" s="62"/>
    </row>
    <row r="24" spans="1:27">
      <c r="A24" s="15">
        <v>18</v>
      </c>
      <c r="B24" s="28">
        <v>3.5000000000000001E-3</v>
      </c>
      <c r="C24" s="29">
        <f t="shared" si="3"/>
        <v>2776949.3938205997</v>
      </c>
      <c r="D24" s="30">
        <f t="shared" si="8"/>
        <v>4054346.1149780764</v>
      </c>
      <c r="E24" s="19">
        <f t="shared" si="0"/>
        <v>2688087.0132183409</v>
      </c>
      <c r="F24" s="20">
        <f t="shared" si="4"/>
        <v>1093007.2814077884</v>
      </c>
      <c r="G24" s="18">
        <f t="shared" si="1"/>
        <v>3781094.2946261293</v>
      </c>
      <c r="H24" s="31">
        <v>5</v>
      </c>
      <c r="I24" s="31">
        <v>0</v>
      </c>
      <c r="J24" s="32">
        <f t="shared" si="5"/>
        <v>18971873.028731205</v>
      </c>
      <c r="K24" s="32">
        <f t="shared" si="6"/>
        <v>13440435.066091705</v>
      </c>
      <c r="L24" s="32">
        <v>0</v>
      </c>
      <c r="M24" s="32">
        <v>0</v>
      </c>
      <c r="N24" s="32">
        <f t="shared" si="7"/>
        <v>9485936.5143656023</v>
      </c>
      <c r="O24" s="44">
        <f>J24-N24</f>
        <v>9485936.5143656023</v>
      </c>
      <c r="P24" s="179" t="s">
        <v>47</v>
      </c>
      <c r="Q24" s="180"/>
      <c r="R24" s="60">
        <v>5</v>
      </c>
      <c r="S24" s="61"/>
      <c r="T24" s="14"/>
    </row>
    <row r="25" spans="1:27">
      <c r="A25" s="15">
        <v>19</v>
      </c>
      <c r="B25" s="28">
        <v>3.5000000000000001E-3</v>
      </c>
      <c r="C25" s="29">
        <f t="shared" si="3"/>
        <v>2767230.0709422277</v>
      </c>
      <c r="D25" s="30">
        <f t="shared" si="8"/>
        <v>4040155.9035756532</v>
      </c>
      <c r="E25" s="19">
        <f t="shared" si="0"/>
        <v>2678678.7086720769</v>
      </c>
      <c r="F25" s="20">
        <f t="shared" si="4"/>
        <v>1089181.7559228609</v>
      </c>
      <c r="G25" s="18">
        <f t="shared" si="1"/>
        <v>3767860.4645949379</v>
      </c>
      <c r="H25" s="31">
        <v>5</v>
      </c>
      <c r="I25" s="31">
        <v>0</v>
      </c>
      <c r="J25" s="32">
        <f t="shared" si="5"/>
        <v>18905471.473130647</v>
      </c>
      <c r="K25" s="32">
        <f t="shared" si="6"/>
        <v>13393393.543360384</v>
      </c>
      <c r="L25" s="32">
        <v>0</v>
      </c>
      <c r="M25" s="32">
        <v>0</v>
      </c>
      <c r="N25" s="32">
        <f t="shared" si="7"/>
        <v>9452735.7365653235</v>
      </c>
      <c r="O25" s="44">
        <f t="shared" ref="O25:O30" si="9">J25-N25</f>
        <v>9452735.7365653235</v>
      </c>
      <c r="P25" s="63" t="s">
        <v>48</v>
      </c>
      <c r="Q25" s="64"/>
      <c r="R25" s="65">
        <f>W8</f>
        <v>77000000</v>
      </c>
      <c r="S25" s="61" t="s">
        <v>49</v>
      </c>
      <c r="T25" s="14"/>
    </row>
    <row r="26" spans="1:27">
      <c r="A26" s="15">
        <v>20</v>
      </c>
      <c r="B26" s="28">
        <v>3.5000000000000001E-3</v>
      </c>
      <c r="C26" s="29">
        <f t="shared" si="3"/>
        <v>2757544.76569393</v>
      </c>
      <c r="D26" s="30">
        <f t="shared" si="8"/>
        <v>4026015.3579131388</v>
      </c>
      <c r="E26" s="19">
        <f t="shared" si="0"/>
        <v>2669303.333191725</v>
      </c>
      <c r="F26" s="20">
        <f t="shared" si="4"/>
        <v>1085369.6197771314</v>
      </c>
      <c r="G26" s="18">
        <f t="shared" si="1"/>
        <v>3754672.9529688563</v>
      </c>
      <c r="H26" s="31">
        <v>5</v>
      </c>
      <c r="I26" s="31">
        <v>0</v>
      </c>
      <c r="J26" s="32">
        <f t="shared" si="5"/>
        <v>18839302.322974689</v>
      </c>
      <c r="K26" s="32">
        <f t="shared" si="6"/>
        <v>13346516.665958624</v>
      </c>
      <c r="L26" s="32">
        <v>0</v>
      </c>
      <c r="M26" s="32">
        <v>0</v>
      </c>
      <c r="N26" s="32">
        <f t="shared" si="7"/>
        <v>9419651.1614873447</v>
      </c>
      <c r="O26" s="44">
        <f t="shared" si="9"/>
        <v>9419651.1614873447</v>
      </c>
      <c r="P26" s="66" t="s">
        <v>37</v>
      </c>
      <c r="Q26" s="67" t="s">
        <v>50</v>
      </c>
      <c r="R26" s="68"/>
      <c r="T26" s="14"/>
    </row>
    <row r="27" spans="1:27">
      <c r="A27" s="15">
        <v>21</v>
      </c>
      <c r="B27" s="28">
        <v>3.5000000000000001E-3</v>
      </c>
      <c r="C27" s="29">
        <f t="shared" si="3"/>
        <v>2747893.3590140012</v>
      </c>
      <c r="D27" s="30">
        <f t="shared" si="8"/>
        <v>4011924.3041604431</v>
      </c>
      <c r="E27" s="19">
        <f t="shared" si="0"/>
        <v>2659960.7715255544</v>
      </c>
      <c r="F27" s="20">
        <f t="shared" si="4"/>
        <v>1081570.8261079113</v>
      </c>
      <c r="G27" s="18">
        <f t="shared" si="1"/>
        <v>3741531.5976334657</v>
      </c>
      <c r="H27" s="31">
        <v>5</v>
      </c>
      <c r="I27" s="31">
        <v>0</v>
      </c>
      <c r="J27" s="32">
        <f t="shared" si="5"/>
        <v>18773364.764844283</v>
      </c>
      <c r="K27" s="32">
        <f t="shared" si="6"/>
        <v>13299803.857627772</v>
      </c>
      <c r="L27" s="32">
        <v>0</v>
      </c>
      <c r="M27" s="32">
        <v>0</v>
      </c>
      <c r="N27" s="32">
        <f t="shared" si="7"/>
        <v>9386682.3824221417</v>
      </c>
      <c r="O27" s="44">
        <f t="shared" si="9"/>
        <v>9386682.3824221417</v>
      </c>
      <c r="P27" s="66"/>
      <c r="Q27" s="67" t="s">
        <v>51</v>
      </c>
      <c r="R27" s="68"/>
      <c r="T27" s="14"/>
    </row>
    <row r="28" spans="1:27">
      <c r="A28" s="15">
        <v>22</v>
      </c>
      <c r="B28" s="28">
        <v>3.5000000000000001E-3</v>
      </c>
      <c r="C28" s="29">
        <f t="shared" si="3"/>
        <v>2738275.7322574523</v>
      </c>
      <c r="D28" s="30">
        <f t="shared" si="8"/>
        <v>3997882.5690958817</v>
      </c>
      <c r="E28" s="19">
        <f t="shared" si="0"/>
        <v>2650650.9088252145</v>
      </c>
      <c r="F28" s="20">
        <f t="shared" si="4"/>
        <v>1077785.3282165336</v>
      </c>
      <c r="G28" s="18">
        <f t="shared" si="1"/>
        <v>3728436.2370417481</v>
      </c>
      <c r="H28" s="31">
        <v>5</v>
      </c>
      <c r="I28" s="31">
        <v>0</v>
      </c>
      <c r="J28" s="32">
        <f t="shared" si="5"/>
        <v>18707657.988167327</v>
      </c>
      <c r="K28" s="32">
        <f t="shared" si="6"/>
        <v>13253254.544126073</v>
      </c>
      <c r="L28" s="32">
        <v>0</v>
      </c>
      <c r="M28" s="32">
        <v>0</v>
      </c>
      <c r="N28" s="32">
        <f t="shared" si="7"/>
        <v>9353828.9940836634</v>
      </c>
      <c r="O28" s="44">
        <f t="shared" si="9"/>
        <v>9353828.9940836634</v>
      </c>
      <c r="P28" s="66"/>
      <c r="Q28" s="67" t="s">
        <v>52</v>
      </c>
      <c r="R28" s="68"/>
      <c r="T28" s="14"/>
    </row>
    <row r="29" spans="1:27">
      <c r="A29" s="15">
        <v>23</v>
      </c>
      <c r="B29" s="28">
        <v>3.5000000000000001E-3</v>
      </c>
      <c r="C29" s="29">
        <f t="shared" si="3"/>
        <v>2728691.7671945514</v>
      </c>
      <c r="D29" s="30">
        <f t="shared" si="8"/>
        <v>3983889.9801040464</v>
      </c>
      <c r="E29" s="19">
        <f t="shared" si="0"/>
        <v>2641373.6306443266</v>
      </c>
      <c r="F29" s="20">
        <f t="shared" si="4"/>
        <v>1074013.0795677761</v>
      </c>
      <c r="G29" s="18">
        <f t="shared" si="1"/>
        <v>3715386.7102121026</v>
      </c>
      <c r="H29" s="31">
        <v>5</v>
      </c>
      <c r="I29" s="31">
        <v>0</v>
      </c>
      <c r="J29" s="32">
        <f t="shared" si="5"/>
        <v>18642181.185208742</v>
      </c>
      <c r="K29" s="32">
        <f t="shared" si="6"/>
        <v>13206868.153221633</v>
      </c>
      <c r="L29" s="32">
        <v>0</v>
      </c>
      <c r="M29" s="32">
        <v>0</v>
      </c>
      <c r="N29" s="32">
        <f t="shared" si="7"/>
        <v>9321090.5926043708</v>
      </c>
      <c r="O29" s="44">
        <f t="shared" si="9"/>
        <v>9321090.5926043708</v>
      </c>
      <c r="P29" s="66"/>
      <c r="Q29" s="67" t="s">
        <v>53</v>
      </c>
      <c r="R29" s="68"/>
      <c r="T29" s="14"/>
    </row>
    <row r="30" spans="1:27">
      <c r="A30" s="15">
        <v>24</v>
      </c>
      <c r="B30" s="28">
        <v>3.5000000000000001E-3</v>
      </c>
      <c r="C30" s="29">
        <f t="shared" si="3"/>
        <v>2719141.3460093704</v>
      </c>
      <c r="D30" s="30">
        <f t="shared" si="8"/>
        <v>3969946.3651736826</v>
      </c>
      <c r="E30" s="19">
        <f t="shared" si="0"/>
        <v>2632128.8229370718</v>
      </c>
      <c r="F30" s="20">
        <f t="shared" si="4"/>
        <v>1070254.0337892887</v>
      </c>
      <c r="G30" s="18">
        <f t="shared" si="1"/>
        <v>3702382.8567263605</v>
      </c>
      <c r="H30" s="31">
        <v>5</v>
      </c>
      <c r="I30" s="31">
        <v>0</v>
      </c>
      <c r="J30" s="32">
        <f t="shared" si="5"/>
        <v>18576933.551060513</v>
      </c>
      <c r="K30" s="32">
        <f t="shared" si="6"/>
        <v>13160644.114685358</v>
      </c>
      <c r="L30" s="32">
        <v>0</v>
      </c>
      <c r="M30" s="32">
        <v>0</v>
      </c>
      <c r="N30" s="32">
        <f t="shared" si="7"/>
        <v>9288466.7755302563</v>
      </c>
      <c r="O30" s="44">
        <f t="shared" si="9"/>
        <v>9288466.7755302563</v>
      </c>
      <c r="P30" s="66"/>
      <c r="Q30" s="67" t="s">
        <v>54</v>
      </c>
      <c r="R30" s="68"/>
      <c r="T30" s="14"/>
    </row>
    <row r="31" spans="1:27">
      <c r="A31" s="15">
        <v>25</v>
      </c>
      <c r="B31" s="28">
        <v>3.5000000000000001E-3</v>
      </c>
      <c r="C31" s="29">
        <f t="shared" si="3"/>
        <v>2709624.3512983378</v>
      </c>
      <c r="D31" s="30">
        <f t="shared" si="8"/>
        <v>3956051.5528955748</v>
      </c>
      <c r="E31" s="19">
        <f t="shared" si="0"/>
        <v>2622916.372056792</v>
      </c>
      <c r="F31" s="20">
        <f t="shared" si="4"/>
        <v>1066508.1446710264</v>
      </c>
      <c r="G31" s="18">
        <f t="shared" si="1"/>
        <v>3689424.5167278182</v>
      </c>
      <c r="H31" s="31">
        <v>5</v>
      </c>
      <c r="I31" s="31">
        <v>0</v>
      </c>
      <c r="J31" s="32">
        <f t="shared" si="5"/>
        <v>18511914.283631802</v>
      </c>
      <c r="K31" s="32">
        <f t="shared" si="6"/>
        <v>13114581.86028396</v>
      </c>
      <c r="L31" s="32">
        <v>0</v>
      </c>
      <c r="M31" s="32">
        <v>0</v>
      </c>
      <c r="N31" s="32">
        <f t="shared" si="7"/>
        <v>9255957.1418159008</v>
      </c>
      <c r="O31" s="44">
        <f>J31-N31</f>
        <v>9255957.1418159008</v>
      </c>
      <c r="P31" s="69"/>
      <c r="Q31" s="70"/>
      <c r="T31" s="14"/>
    </row>
    <row r="32" spans="1:27">
      <c r="A32" s="15" t="s">
        <v>55</v>
      </c>
      <c r="B32" s="71">
        <f>SUM(B7:B31)</f>
        <v>0.10150000000000006</v>
      </c>
      <c r="C32" s="72">
        <f>AVERAGE(C6:C31)</f>
        <v>2833619.0541891176</v>
      </c>
      <c r="D32" s="73">
        <f>SUM(D7:D26)</f>
        <v>83264484.525589257</v>
      </c>
      <c r="E32" s="73"/>
      <c r="F32" s="73"/>
      <c r="G32" s="73"/>
      <c r="H32" s="74"/>
      <c r="I32" s="74"/>
      <c r="J32" s="75">
        <f>SUM(J7:J31)</f>
        <v>483126118.96026826</v>
      </c>
      <c r="K32" s="75">
        <f t="shared" ref="K32:M32" si="10">SUM(K7:N31)</f>
        <v>583625681.25929272</v>
      </c>
      <c r="L32" s="75">
        <f t="shared" si="10"/>
        <v>483126118.96026826</v>
      </c>
      <c r="M32" s="75">
        <f t="shared" si="10"/>
        <v>483126118.96026826</v>
      </c>
      <c r="N32" s="75">
        <f>SUM(N7:N31)</f>
        <v>241563059.48013413</v>
      </c>
      <c r="O32" s="76">
        <f>SUM(O7:O31)</f>
        <v>241563059.48013413</v>
      </c>
      <c r="P32" s="77"/>
    </row>
    <row r="33" spans="1:20">
      <c r="A33" s="78"/>
      <c r="B33" s="79"/>
      <c r="C33" s="80"/>
      <c r="D33" s="73"/>
      <c r="E33" s="81"/>
      <c r="F33" s="81"/>
      <c r="G33" s="81"/>
      <c r="H33" s="82"/>
      <c r="I33" s="82"/>
      <c r="J33" s="77"/>
      <c r="K33" s="77"/>
      <c r="L33" s="77"/>
      <c r="M33" s="77"/>
      <c r="N33" s="83" t="s">
        <v>56</v>
      </c>
      <c r="O33" s="83">
        <v>5.75</v>
      </c>
      <c r="P33" s="77" t="s">
        <v>57</v>
      </c>
      <c r="Q33" s="3">
        <f>9/12</f>
        <v>0.75</v>
      </c>
    </row>
    <row r="34" spans="1:20">
      <c r="B34" s="4"/>
      <c r="C34" s="84"/>
      <c r="D34" s="85">
        <f>D32*1.07</f>
        <v>89092998.442380518</v>
      </c>
      <c r="E34" s="86"/>
      <c r="F34" s="86"/>
      <c r="G34" s="86"/>
      <c r="H34" s="86"/>
      <c r="J34" s="87" t="s">
        <v>58</v>
      </c>
      <c r="K34" s="88">
        <f>NPV(0.1%,K7:K26)</f>
        <v>273182138.93462855</v>
      </c>
      <c r="L34" s="88"/>
      <c r="M34" s="88"/>
      <c r="N34" s="89" t="s">
        <v>58</v>
      </c>
      <c r="O34" s="89">
        <f>NPV(10%,O7:O26)</f>
        <v>83930034.458700985</v>
      </c>
      <c r="P34" s="90" t="s">
        <v>49</v>
      </c>
      <c r="R34" s="3">
        <f>(IF([1]การใช้ไฟย้อนหลัง!F23&gt;=1,1,[1]การใช้ไฟย้อนหลัง!F23))</f>
        <v>1</v>
      </c>
    </row>
    <row r="35" spans="1:20">
      <c r="B35" s="4"/>
      <c r="C35" s="91" t="s">
        <v>59</v>
      </c>
      <c r="D35" s="92">
        <f>AVERAGE(D6:D26)</f>
        <v>4173546.882170917</v>
      </c>
      <c r="E35" s="92">
        <f>D35*100/[1]การใช้ไฟย้อนหลัง!R21</f>
        <v>198.31388448397232</v>
      </c>
      <c r="F35" s="92"/>
      <c r="G35" s="92"/>
      <c r="H35" s="92"/>
      <c r="I35" s="87"/>
      <c r="N35" s="89" t="s">
        <v>60</v>
      </c>
      <c r="O35" s="93">
        <f>IRR(O6:O31,0.1)</f>
        <v>0.12049795034801036</v>
      </c>
      <c r="Q35" s="4"/>
    </row>
    <row r="36" spans="1:20">
      <c r="B36" s="4"/>
      <c r="C36" s="91"/>
      <c r="D36" s="92"/>
      <c r="E36" s="92"/>
      <c r="F36" s="92"/>
      <c r="G36" s="92"/>
      <c r="H36" s="92"/>
      <c r="I36" s="87"/>
      <c r="N36" s="89"/>
      <c r="O36" s="93"/>
      <c r="Q36" s="4"/>
    </row>
    <row r="37" spans="1:20">
      <c r="B37" s="4"/>
      <c r="C37" s="4"/>
      <c r="D37" s="52"/>
      <c r="E37" s="52"/>
      <c r="F37" s="52"/>
      <c r="G37" s="52"/>
      <c r="H37" s="52"/>
      <c r="I37" s="87"/>
      <c r="Q37" s="4"/>
      <c r="T37" s="94"/>
    </row>
    <row r="38" spans="1:20">
      <c r="C38" s="4"/>
      <c r="D38" s="95"/>
      <c r="E38" s="95"/>
      <c r="F38" s="95"/>
      <c r="G38" s="95"/>
      <c r="H38" s="95"/>
      <c r="I38" s="87"/>
      <c r="Q38" s="4"/>
    </row>
    <row r="39" spans="1:20">
      <c r="B39" s="94"/>
    </row>
    <row r="40" spans="1:20">
      <c r="B40" s="96"/>
      <c r="C40" s="50"/>
      <c r="D40" s="95"/>
      <c r="E40" s="95"/>
      <c r="F40" s="95"/>
      <c r="G40" s="95"/>
      <c r="H40" s="95"/>
      <c r="I40" s="87"/>
    </row>
    <row r="41" spans="1:20">
      <c r="C41" s="50"/>
      <c r="D41" s="95"/>
      <c r="E41" s="95"/>
      <c r="F41" s="95"/>
      <c r="G41" s="95"/>
      <c r="H41" s="95"/>
      <c r="I41" s="87"/>
    </row>
    <row r="45" spans="1:20">
      <c r="J45" s="3"/>
      <c r="K45" s="3"/>
    </row>
  </sheetData>
  <mergeCells count="20">
    <mergeCell ref="P16:Q16"/>
    <mergeCell ref="A2:O2"/>
    <mergeCell ref="A3:G3"/>
    <mergeCell ref="H3:J3"/>
    <mergeCell ref="L3:N4"/>
    <mergeCell ref="O3:O4"/>
    <mergeCell ref="A4:A5"/>
    <mergeCell ref="B4:B5"/>
    <mergeCell ref="C4:C5"/>
    <mergeCell ref="E4:G4"/>
    <mergeCell ref="P5:Q5"/>
    <mergeCell ref="P7:Q7"/>
    <mergeCell ref="P11:Q11"/>
    <mergeCell ref="P12:Q12"/>
    <mergeCell ref="P14:Q14"/>
    <mergeCell ref="P19:Q19"/>
    <mergeCell ref="P20:Q20"/>
    <mergeCell ref="P21:Q21"/>
    <mergeCell ref="P23:Q23"/>
    <mergeCell ref="P24:Q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3E18-2874-4B93-A3F1-34C72144C8E9}">
  <dimension ref="A1:AA45"/>
  <sheetViews>
    <sheetView topLeftCell="C19" workbookViewId="0">
      <selection activeCell="J8" sqref="J8"/>
    </sheetView>
  </sheetViews>
  <sheetFormatPr defaultColWidth="10.28515625" defaultRowHeight="24"/>
  <cols>
    <col min="1" max="1" width="7.140625" style="3" customWidth="1"/>
    <col min="2" max="2" width="13" style="3" customWidth="1"/>
    <col min="3" max="3" width="16.42578125" style="3" customWidth="1"/>
    <col min="4" max="4" width="19.5703125" style="3" customWidth="1"/>
    <col min="5" max="5" width="16.42578125" style="3" customWidth="1"/>
    <col min="6" max="6" width="19.28515625" style="3" customWidth="1"/>
    <col min="7" max="7" width="15.7109375" style="3" customWidth="1"/>
    <col min="8" max="8" width="12.28515625" style="3" customWidth="1"/>
    <col min="9" max="9" width="16.140625" style="3" hidden="1" customWidth="1"/>
    <col min="10" max="10" width="21.42578125" style="4" customWidth="1"/>
    <col min="11" max="11" width="25.7109375" style="4" hidden="1" customWidth="1"/>
    <col min="12" max="12" width="19.140625" style="3" hidden="1" customWidth="1"/>
    <col min="13" max="13" width="19.7109375" style="3" hidden="1" customWidth="1"/>
    <col min="14" max="14" width="19.85546875" style="3" customWidth="1"/>
    <col min="15" max="15" width="21" style="3" customWidth="1"/>
    <col min="16" max="16" width="18.42578125" style="1" customWidth="1"/>
    <col min="17" max="17" width="20.28515625" style="3" customWidth="1"/>
    <col min="18" max="18" width="25.140625" style="3" bestFit="1" customWidth="1"/>
    <col min="19" max="19" width="14.28515625" style="3" customWidth="1"/>
    <col min="20" max="20" width="19.42578125" style="3" customWidth="1"/>
    <col min="21" max="21" width="12.42578125" style="3" customWidth="1"/>
    <col min="22" max="22" width="14.28515625" style="4" customWidth="1"/>
    <col min="23" max="23" width="17.5703125" style="5" bestFit="1" customWidth="1"/>
    <col min="24" max="24" width="19.140625" style="5" customWidth="1"/>
    <col min="25" max="25" width="16.7109375" style="5" bestFit="1" customWidth="1"/>
    <col min="26" max="26" width="14.42578125" style="3" customWidth="1"/>
    <col min="27" max="28" width="10.140625" style="3" customWidth="1"/>
    <col min="29" max="29" width="12.5703125" style="3" customWidth="1"/>
    <col min="30" max="35" width="10.140625" style="3" customWidth="1"/>
    <col min="36" max="16384" width="10.28515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1"/>
      <c r="M1" s="1"/>
      <c r="N1" s="1"/>
      <c r="O1" s="1"/>
    </row>
    <row r="2" spans="1:27" ht="30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7"/>
      <c r="S2" s="8"/>
    </row>
    <row r="3" spans="1:27" ht="30">
      <c r="A3" s="182" t="s">
        <v>2</v>
      </c>
      <c r="B3" s="183"/>
      <c r="C3" s="183"/>
      <c r="D3" s="183"/>
      <c r="E3" s="183"/>
      <c r="F3" s="183"/>
      <c r="G3" s="184"/>
      <c r="H3" s="182" t="s">
        <v>3</v>
      </c>
      <c r="I3" s="183"/>
      <c r="J3" s="184"/>
      <c r="K3" s="6"/>
      <c r="L3" s="185" t="s">
        <v>63</v>
      </c>
      <c r="M3" s="186"/>
      <c r="N3" s="187"/>
      <c r="O3" s="191" t="s">
        <v>5</v>
      </c>
      <c r="P3" s="7"/>
      <c r="S3" s="8"/>
    </row>
    <row r="4" spans="1:27" ht="72">
      <c r="A4" s="193" t="s">
        <v>6</v>
      </c>
      <c r="B4" s="195" t="s">
        <v>7</v>
      </c>
      <c r="C4" s="195" t="s">
        <v>8</v>
      </c>
      <c r="D4" s="10" t="s">
        <v>9</v>
      </c>
      <c r="E4" s="195" t="s">
        <v>10</v>
      </c>
      <c r="F4" s="195"/>
      <c r="G4" s="195"/>
      <c r="H4" s="9" t="s">
        <v>11</v>
      </c>
      <c r="I4" s="9" t="s">
        <v>12</v>
      </c>
      <c r="J4" s="9" t="s">
        <v>13</v>
      </c>
      <c r="K4" s="9"/>
      <c r="L4" s="188"/>
      <c r="M4" s="189"/>
      <c r="N4" s="190"/>
      <c r="O4" s="192"/>
      <c r="P4" s="7"/>
    </row>
    <row r="5" spans="1:27">
      <c r="A5" s="194"/>
      <c r="B5" s="195"/>
      <c r="C5" s="195"/>
      <c r="D5" s="9"/>
      <c r="E5" s="11" t="s">
        <v>14</v>
      </c>
      <c r="F5" s="11" t="s">
        <v>15</v>
      </c>
      <c r="G5" s="11" t="s">
        <v>16</v>
      </c>
      <c r="H5" s="9" t="s">
        <v>17</v>
      </c>
      <c r="I5" s="9" t="s">
        <v>17</v>
      </c>
      <c r="J5" s="9" t="s">
        <v>18</v>
      </c>
      <c r="K5" s="9"/>
      <c r="L5" s="9" t="s">
        <v>17</v>
      </c>
      <c r="M5" s="9" t="s">
        <v>17</v>
      </c>
      <c r="N5" s="9" t="s">
        <v>19</v>
      </c>
      <c r="O5" s="9" t="s">
        <v>19</v>
      </c>
      <c r="P5" s="179" t="s">
        <v>20</v>
      </c>
      <c r="Q5" s="180"/>
      <c r="R5" s="12">
        <v>3000000</v>
      </c>
      <c r="S5" s="13" t="s">
        <v>21</v>
      </c>
      <c r="T5" s="14">
        <f>R5*4/1000</f>
        <v>12000</v>
      </c>
      <c r="V5" s="100" t="s">
        <v>22</v>
      </c>
      <c r="W5" s="101">
        <v>25</v>
      </c>
    </row>
    <row r="6" spans="1:27">
      <c r="A6" s="15">
        <v>0</v>
      </c>
      <c r="B6" s="16"/>
      <c r="C6" s="17">
        <f>R5</f>
        <v>3000000</v>
      </c>
      <c r="D6" s="18">
        <f>R14</f>
        <v>4380000</v>
      </c>
      <c r="E6" s="19">
        <f>D6*$R$19/365</f>
        <v>2904000</v>
      </c>
      <c r="F6" s="20">
        <f>D6*$R$20*$R$21/365</f>
        <v>1180800</v>
      </c>
      <c r="G6" s="18">
        <f>E6+F6</f>
        <v>4084800</v>
      </c>
      <c r="H6" s="21"/>
      <c r="I6" s="21"/>
      <c r="J6" s="22"/>
      <c r="K6" s="22">
        <f>-125400000</f>
        <v>-125400000</v>
      </c>
      <c r="L6" s="16"/>
      <c r="M6" s="16"/>
      <c r="N6" s="16"/>
      <c r="O6" s="23">
        <f>-W8</f>
        <v>-77000000</v>
      </c>
      <c r="P6" s="24"/>
      <c r="Q6" s="25"/>
      <c r="R6" s="26"/>
      <c r="S6" s="13"/>
      <c r="V6" s="100" t="s">
        <v>23</v>
      </c>
      <c r="W6" s="101">
        <f>R5*W5</f>
        <v>75000000</v>
      </c>
    </row>
    <row r="7" spans="1:27" ht="25.5">
      <c r="A7" s="27">
        <v>1</v>
      </c>
      <c r="B7" s="28">
        <v>1.7500000000000002E-2</v>
      </c>
      <c r="C7" s="29">
        <f>C6*(1-B7)</f>
        <v>2947500</v>
      </c>
      <c r="D7" s="30">
        <f>D6*(1-B7)</f>
        <v>4303350</v>
      </c>
      <c r="E7" s="19">
        <f t="shared" ref="E7:E31" si="0">D7*$R$19/365</f>
        <v>2853180</v>
      </c>
      <c r="F7" s="20">
        <f>D7*$R$20*$R$21/365</f>
        <v>1160136</v>
      </c>
      <c r="G7" s="18">
        <f t="shared" ref="G7:G31" si="1">E7+F7</f>
        <v>4013316</v>
      </c>
      <c r="H7" s="31">
        <v>5.5</v>
      </c>
      <c r="I7" s="31">
        <v>0</v>
      </c>
      <c r="J7" s="32">
        <f>(G6*H7)</f>
        <v>22466400</v>
      </c>
      <c r="K7" s="32">
        <f>(E7*H7)</f>
        <v>15692490</v>
      </c>
      <c r="L7" s="32">
        <v>0</v>
      </c>
      <c r="M7" s="32">
        <v>0</v>
      </c>
      <c r="N7" s="32">
        <f>J7*0.5</f>
        <v>11233200</v>
      </c>
      <c r="O7" s="33">
        <f t="shared" ref="O7:O23" si="2">J7-N7</f>
        <v>11233200</v>
      </c>
      <c r="P7" s="179" t="s">
        <v>24</v>
      </c>
      <c r="Q7" s="180"/>
      <c r="R7" s="12">
        <f>T7</f>
        <v>4380000</v>
      </c>
      <c r="S7" s="13" t="s">
        <v>25</v>
      </c>
      <c r="T7" s="14">
        <f>T5*365</f>
        <v>4380000</v>
      </c>
      <c r="V7" s="102" t="s">
        <v>26</v>
      </c>
      <c r="W7" s="103">
        <v>2000000</v>
      </c>
    </row>
    <row r="8" spans="1:27" ht="25.5">
      <c r="A8" s="27">
        <v>2</v>
      </c>
      <c r="B8" s="28">
        <v>3.5000000000000001E-3</v>
      </c>
      <c r="C8" s="29">
        <f t="shared" ref="C8:C31" si="3">C7*(1-B8)</f>
        <v>2937183.75</v>
      </c>
      <c r="D8" s="30">
        <f>D7*(1-B8)</f>
        <v>4288288.2750000004</v>
      </c>
      <c r="E8" s="19">
        <f t="shared" si="0"/>
        <v>2843193.87</v>
      </c>
      <c r="F8" s="20">
        <f t="shared" ref="F8:F31" si="4">D8*$R$20*$R$21/365</f>
        <v>1156075.5240000002</v>
      </c>
      <c r="G8" s="18">
        <f t="shared" si="1"/>
        <v>3999269.3940000003</v>
      </c>
      <c r="H8" s="31">
        <v>5.5</v>
      </c>
      <c r="I8" s="31">
        <v>0</v>
      </c>
      <c r="J8" s="32">
        <f t="shared" ref="J8:J31" si="5">(G7*H8)</f>
        <v>22073238</v>
      </c>
      <c r="K8" s="32">
        <f t="shared" ref="K8:K31" si="6">(E8*H8)</f>
        <v>15637566.285</v>
      </c>
      <c r="L8" s="32">
        <v>0</v>
      </c>
      <c r="M8" s="32">
        <v>0</v>
      </c>
      <c r="N8" s="32">
        <f t="shared" ref="N8:N31" si="7">J8*0.5</f>
        <v>11036619</v>
      </c>
      <c r="O8" s="33">
        <f t="shared" si="2"/>
        <v>11036619</v>
      </c>
      <c r="P8" s="34" t="s">
        <v>27</v>
      </c>
      <c r="Q8" s="35">
        <f>SUM(O7:O12)</f>
        <v>66031362.956508495</v>
      </c>
      <c r="R8" s="25"/>
      <c r="S8" s="13"/>
      <c r="V8" s="102" t="s">
        <v>28</v>
      </c>
      <c r="W8" s="103">
        <f>W6+W7</f>
        <v>77000000</v>
      </c>
    </row>
    <row r="9" spans="1:27" ht="25.5">
      <c r="A9" s="27">
        <v>3</v>
      </c>
      <c r="B9" s="28">
        <v>3.5000000000000001E-3</v>
      </c>
      <c r="C9" s="29">
        <f t="shared" si="3"/>
        <v>2926903.6068750001</v>
      </c>
      <c r="D9" s="30">
        <f t="shared" ref="D9:D31" si="8">D8*(1-B9)</f>
        <v>4273279.2660375005</v>
      </c>
      <c r="E9" s="19">
        <f t="shared" si="0"/>
        <v>2833242.6914550005</v>
      </c>
      <c r="F9" s="20">
        <f t="shared" si="4"/>
        <v>1152029.2596660003</v>
      </c>
      <c r="G9" s="18">
        <f t="shared" si="1"/>
        <v>3985271.9511210006</v>
      </c>
      <c r="H9" s="31">
        <v>5.5</v>
      </c>
      <c r="I9" s="31">
        <v>0</v>
      </c>
      <c r="J9" s="32">
        <f t="shared" si="5"/>
        <v>21995981.667000003</v>
      </c>
      <c r="K9" s="32">
        <f t="shared" si="6"/>
        <v>15582834.803002503</v>
      </c>
      <c r="L9" s="32">
        <v>0</v>
      </c>
      <c r="M9" s="32">
        <v>0</v>
      </c>
      <c r="N9" s="32">
        <f t="shared" si="7"/>
        <v>10997990.833500002</v>
      </c>
      <c r="O9" s="33">
        <f t="shared" si="2"/>
        <v>10997990.833500002</v>
      </c>
      <c r="P9" s="36" t="s">
        <v>29</v>
      </c>
      <c r="Q9" s="37">
        <f>SUM(N7:N12)</f>
        <v>66031362.956508495</v>
      </c>
      <c r="R9" s="38">
        <f>Q9*0.3</f>
        <v>19809408.886952549</v>
      </c>
      <c r="S9" s="39">
        <f>Q9-R9</f>
        <v>46221954.069555946</v>
      </c>
      <c r="V9" s="4" t="s">
        <v>27</v>
      </c>
      <c r="W9" s="5">
        <f>W8/O12</f>
        <v>7.0753098330380988</v>
      </c>
      <c r="X9" s="5" t="s">
        <v>62</v>
      </c>
    </row>
    <row r="10" spans="1:27" ht="25.5">
      <c r="A10" s="27">
        <v>4</v>
      </c>
      <c r="B10" s="28">
        <v>3.5000000000000001E-3</v>
      </c>
      <c r="C10" s="29">
        <f t="shared" si="3"/>
        <v>2916659.4442509376</v>
      </c>
      <c r="D10" s="30">
        <f t="shared" si="8"/>
        <v>4258322.7886063699</v>
      </c>
      <c r="E10" s="19">
        <f t="shared" si="0"/>
        <v>2823326.342034908</v>
      </c>
      <c r="F10" s="20">
        <f t="shared" si="4"/>
        <v>1147997.1572571695</v>
      </c>
      <c r="G10" s="18">
        <f t="shared" si="1"/>
        <v>3971323.4992920775</v>
      </c>
      <c r="H10" s="31">
        <v>5.5</v>
      </c>
      <c r="I10" s="31">
        <v>0</v>
      </c>
      <c r="J10" s="32">
        <f t="shared" si="5"/>
        <v>21918995.731165502</v>
      </c>
      <c r="K10" s="32">
        <f t="shared" si="6"/>
        <v>15528294.881191995</v>
      </c>
      <c r="L10" s="32">
        <v>0</v>
      </c>
      <c r="M10" s="32">
        <v>0</v>
      </c>
      <c r="N10" s="32">
        <f t="shared" si="7"/>
        <v>10959497.865582751</v>
      </c>
      <c r="O10" s="33">
        <f t="shared" si="2"/>
        <v>10959497.865582751</v>
      </c>
      <c r="P10" s="40"/>
      <c r="Q10" s="25"/>
      <c r="R10" s="41">
        <f>R9/10/12</f>
        <v>165078.40739127123</v>
      </c>
      <c r="S10" s="39">
        <f>S9/12/10</f>
        <v>385182.95057963289</v>
      </c>
      <c r="U10" s="14">
        <v>7</v>
      </c>
      <c r="V10" s="4" t="s">
        <v>31</v>
      </c>
      <c r="W10" s="5">
        <f>SUM(J7:J13)</f>
        <v>153752376.77232143</v>
      </c>
    </row>
    <row r="11" spans="1:27" ht="25.5">
      <c r="A11" s="27">
        <v>5</v>
      </c>
      <c r="B11" s="28">
        <v>3.5000000000000001E-3</v>
      </c>
      <c r="C11" s="29">
        <f t="shared" si="3"/>
        <v>2906451.1361960596</v>
      </c>
      <c r="D11" s="30">
        <f t="shared" si="8"/>
        <v>4243418.6588462479</v>
      </c>
      <c r="E11" s="19">
        <f t="shared" si="0"/>
        <v>2813444.6998377861</v>
      </c>
      <c r="F11" s="20">
        <f t="shared" si="4"/>
        <v>1143979.1672067693</v>
      </c>
      <c r="G11" s="18">
        <f t="shared" si="1"/>
        <v>3957423.8670445555</v>
      </c>
      <c r="H11" s="31">
        <v>5.5</v>
      </c>
      <c r="I11" s="31">
        <v>0</v>
      </c>
      <c r="J11" s="32">
        <f t="shared" si="5"/>
        <v>21842279.246106427</v>
      </c>
      <c r="K11" s="32">
        <f t="shared" si="6"/>
        <v>15473945.849107824</v>
      </c>
      <c r="L11" s="32">
        <v>0</v>
      </c>
      <c r="M11" s="32">
        <v>0</v>
      </c>
      <c r="N11" s="32">
        <f t="shared" si="7"/>
        <v>10921139.623053214</v>
      </c>
      <c r="O11" s="33">
        <f t="shared" si="2"/>
        <v>10921139.623053214</v>
      </c>
      <c r="P11" s="179" t="s">
        <v>32</v>
      </c>
      <c r="Q11" s="180"/>
      <c r="R11" s="12">
        <f>[1]asm!C22</f>
        <v>10</v>
      </c>
      <c r="S11" s="13" t="s">
        <v>33</v>
      </c>
      <c r="U11" s="14">
        <v>7</v>
      </c>
      <c r="V11" s="4" t="s">
        <v>34</v>
      </c>
      <c r="W11" s="5">
        <f>SUM(N7:N13)</f>
        <v>76876188.386160716</v>
      </c>
      <c r="X11" s="42">
        <f>W11/U11</f>
        <v>10982312.626594389</v>
      </c>
    </row>
    <row r="12" spans="1:27" ht="25.5">
      <c r="A12" s="27">
        <v>6</v>
      </c>
      <c r="B12" s="28">
        <v>3.5000000000000001E-3</v>
      </c>
      <c r="C12" s="29">
        <f t="shared" si="3"/>
        <v>2896278.5572193735</v>
      </c>
      <c r="D12" s="30">
        <f t="shared" si="8"/>
        <v>4228566.6935402863</v>
      </c>
      <c r="E12" s="19">
        <f t="shared" si="0"/>
        <v>2803597.6433883542</v>
      </c>
      <c r="F12" s="20">
        <f t="shared" si="4"/>
        <v>1139975.2401215457</v>
      </c>
      <c r="G12" s="18">
        <f t="shared" si="1"/>
        <v>3943572.8835099</v>
      </c>
      <c r="H12" s="31">
        <v>5.5</v>
      </c>
      <c r="I12" s="31">
        <v>0</v>
      </c>
      <c r="J12" s="32">
        <f t="shared" si="5"/>
        <v>21765831.268745054</v>
      </c>
      <c r="K12" s="32">
        <f t="shared" si="6"/>
        <v>15419787.038635949</v>
      </c>
      <c r="L12" s="32">
        <v>0</v>
      </c>
      <c r="M12" s="32">
        <v>0</v>
      </c>
      <c r="N12" s="32">
        <f t="shared" si="7"/>
        <v>10882915.634372527</v>
      </c>
      <c r="O12" s="33">
        <f t="shared" si="2"/>
        <v>10882915.634372527</v>
      </c>
      <c r="P12" s="196" t="s">
        <v>35</v>
      </c>
      <c r="Q12" s="197"/>
      <c r="R12" s="43">
        <f>R11*100/365</f>
        <v>2.7397260273972601</v>
      </c>
      <c r="S12" s="13"/>
      <c r="V12" s="4" t="s">
        <v>36</v>
      </c>
      <c r="W12" s="5">
        <f>W11*30%</f>
        <v>23062856.515848216</v>
      </c>
      <c r="X12" s="5">
        <f>W12/U11</f>
        <v>3294693.7879783167</v>
      </c>
      <c r="Y12" s="5">
        <f>X12/12</f>
        <v>274557.81566485972</v>
      </c>
      <c r="Z12" s="3">
        <f>X12*100/X11</f>
        <v>30</v>
      </c>
    </row>
    <row r="13" spans="1:27">
      <c r="A13" s="15">
        <v>7</v>
      </c>
      <c r="B13" s="28">
        <v>3.5000000000000001E-3</v>
      </c>
      <c r="C13" s="29">
        <f t="shared" si="3"/>
        <v>2886141.5822691061</v>
      </c>
      <c r="D13" s="30">
        <f t="shared" si="8"/>
        <v>4213766.7101128958</v>
      </c>
      <c r="E13" s="19">
        <f t="shared" si="0"/>
        <v>2793785.0516364952</v>
      </c>
      <c r="F13" s="20">
        <f t="shared" si="4"/>
        <v>1135985.3267811206</v>
      </c>
      <c r="G13" s="18">
        <f t="shared" si="1"/>
        <v>3929770.3784176158</v>
      </c>
      <c r="H13" s="31">
        <v>5.5</v>
      </c>
      <c r="I13" s="31">
        <v>0</v>
      </c>
      <c r="J13" s="32">
        <f t="shared" si="5"/>
        <v>21689650.85930445</v>
      </c>
      <c r="K13" s="32">
        <f t="shared" si="6"/>
        <v>15365817.784000723</v>
      </c>
      <c r="L13" s="32">
        <v>0</v>
      </c>
      <c r="M13" s="32">
        <v>0</v>
      </c>
      <c r="N13" s="32">
        <f t="shared" si="7"/>
        <v>10844825.429652225</v>
      </c>
      <c r="O13" s="33">
        <f t="shared" si="2"/>
        <v>10844825.429652225</v>
      </c>
      <c r="P13" s="40"/>
      <c r="Q13" s="35">
        <f>SUM(O7:O13)</f>
        <v>76876188.386160716</v>
      </c>
      <c r="R13" s="45">
        <f>O12/12*9</f>
        <v>8162186.7257793946</v>
      </c>
      <c r="S13" s="46">
        <f>SUM(Q13:R13)</f>
        <v>85038375.111940116</v>
      </c>
      <c r="V13" s="4" t="s">
        <v>37</v>
      </c>
      <c r="W13" s="5">
        <f>W11*40%</f>
        <v>30750475.354464289</v>
      </c>
      <c r="X13" s="5">
        <f>W13/U11</f>
        <v>4392925.0506377555</v>
      </c>
      <c r="Y13" s="5">
        <f>X13/10</f>
        <v>439292.50506377558</v>
      </c>
      <c r="Z13" s="3">
        <f>X13*100/X11</f>
        <v>40</v>
      </c>
    </row>
    <row r="14" spans="1:27">
      <c r="A14" s="15">
        <v>8</v>
      </c>
      <c r="B14" s="28">
        <v>3.5000000000000001E-3</v>
      </c>
      <c r="C14" s="29">
        <f t="shared" si="3"/>
        <v>2876040.0867311643</v>
      </c>
      <c r="D14" s="30">
        <f t="shared" si="8"/>
        <v>4199018.5266275005</v>
      </c>
      <c r="E14" s="19">
        <f t="shared" si="0"/>
        <v>2784006.8039557678</v>
      </c>
      <c r="F14" s="20">
        <f t="shared" si="4"/>
        <v>1132009.3781373864</v>
      </c>
      <c r="G14" s="18">
        <f t="shared" si="1"/>
        <v>3916016.1820931542</v>
      </c>
      <c r="H14" s="31">
        <v>5.5</v>
      </c>
      <c r="I14" s="31">
        <v>0</v>
      </c>
      <c r="J14" s="32">
        <f t="shared" si="5"/>
        <v>21613737.081296887</v>
      </c>
      <c r="K14" s="32">
        <f t="shared" si="6"/>
        <v>15312037.421756722</v>
      </c>
      <c r="L14" s="32">
        <v>0</v>
      </c>
      <c r="M14" s="32">
        <v>0</v>
      </c>
      <c r="N14" s="32">
        <f t="shared" si="7"/>
        <v>10806868.540648444</v>
      </c>
      <c r="O14" s="44">
        <f t="shared" si="2"/>
        <v>10806868.540648444</v>
      </c>
      <c r="P14" s="179" t="s">
        <v>38</v>
      </c>
      <c r="Q14" s="180"/>
      <c r="R14" s="12">
        <f>R7</f>
        <v>4380000</v>
      </c>
      <c r="S14" s="13" t="s">
        <v>25</v>
      </c>
      <c r="V14" s="4" t="s">
        <v>39</v>
      </c>
      <c r="W14" s="5">
        <f>W11*20%</f>
        <v>15375237.677232144</v>
      </c>
      <c r="X14" s="5">
        <f>W14/U11</f>
        <v>2196462.5253188778</v>
      </c>
      <c r="Y14" s="5">
        <f>X14/12</f>
        <v>183038.54377657315</v>
      </c>
      <c r="Z14" s="3">
        <f>X14*100/X11</f>
        <v>20</v>
      </c>
    </row>
    <row r="15" spans="1:27">
      <c r="A15" s="15">
        <v>9</v>
      </c>
      <c r="B15" s="28">
        <v>3.5000000000000001E-3</v>
      </c>
      <c r="C15" s="29">
        <f t="shared" si="3"/>
        <v>2865973.9464276051</v>
      </c>
      <c r="D15" s="30">
        <f t="shared" si="8"/>
        <v>4184321.9617843046</v>
      </c>
      <c r="E15" s="19">
        <f t="shared" si="0"/>
        <v>2774262.7801419226</v>
      </c>
      <c r="F15" s="20">
        <f t="shared" si="4"/>
        <v>1128047.3453139057</v>
      </c>
      <c r="G15" s="18">
        <f t="shared" si="1"/>
        <v>3902310.1254558284</v>
      </c>
      <c r="H15" s="31">
        <v>5.5</v>
      </c>
      <c r="I15" s="31">
        <v>0</v>
      </c>
      <c r="J15" s="32">
        <f t="shared" si="5"/>
        <v>21538089.001512349</v>
      </c>
      <c r="K15" s="32">
        <f t="shared" si="6"/>
        <v>15258445.290780574</v>
      </c>
      <c r="L15" s="32">
        <v>0</v>
      </c>
      <c r="M15" s="32">
        <v>0</v>
      </c>
      <c r="N15" s="32">
        <f t="shared" si="7"/>
        <v>10769044.500756174</v>
      </c>
      <c r="O15" s="44">
        <f t="shared" si="2"/>
        <v>10769044.500756174</v>
      </c>
      <c r="P15" s="40"/>
      <c r="Q15" s="25"/>
      <c r="R15" s="47"/>
      <c r="S15" s="13"/>
      <c r="V15" s="4" t="s">
        <v>40</v>
      </c>
      <c r="W15" s="5">
        <f>W11-W12-W13-W14</f>
        <v>7687618.8386160638</v>
      </c>
      <c r="X15" s="5">
        <f>W15/U11</f>
        <v>1098231.2626594377</v>
      </c>
      <c r="Y15" s="5">
        <f>X15/12</f>
        <v>91519.271888286472</v>
      </c>
      <c r="Z15" s="3">
        <f>100-Z12-Z13-Z14</f>
        <v>10</v>
      </c>
    </row>
    <row r="16" spans="1:27">
      <c r="A16" s="15">
        <v>10</v>
      </c>
      <c r="B16" s="28">
        <v>3.5000000000000001E-3</v>
      </c>
      <c r="C16" s="29">
        <f t="shared" si="3"/>
        <v>2855943.0376151088</v>
      </c>
      <c r="D16" s="30">
        <f t="shared" si="8"/>
        <v>4169676.8349180599</v>
      </c>
      <c r="E16" s="19">
        <f t="shared" si="0"/>
        <v>2764552.8604114261</v>
      </c>
      <c r="F16" s="20">
        <f t="shared" si="4"/>
        <v>1124099.1796053071</v>
      </c>
      <c r="G16" s="18">
        <f t="shared" si="1"/>
        <v>3888652.0400167331</v>
      </c>
      <c r="H16" s="31">
        <v>5.5</v>
      </c>
      <c r="I16" s="31">
        <v>0</v>
      </c>
      <c r="J16" s="32">
        <f t="shared" si="5"/>
        <v>21462705.690007057</v>
      </c>
      <c r="K16" s="32">
        <f t="shared" si="6"/>
        <v>15205040.732262842</v>
      </c>
      <c r="L16" s="32">
        <v>0</v>
      </c>
      <c r="M16" s="32">
        <v>0</v>
      </c>
      <c r="N16" s="32">
        <f t="shared" si="7"/>
        <v>10731352.845003529</v>
      </c>
      <c r="O16" s="44">
        <f t="shared" si="2"/>
        <v>10731352.845003529</v>
      </c>
      <c r="P16" s="179" t="s">
        <v>41</v>
      </c>
      <c r="Q16" s="180"/>
      <c r="R16" s="48">
        <v>0.2</v>
      </c>
      <c r="S16" s="13"/>
      <c r="V16" s="49"/>
      <c r="W16" s="97" t="s">
        <v>34</v>
      </c>
      <c r="X16" s="97" t="s">
        <v>66</v>
      </c>
      <c r="Y16" s="97" t="s">
        <v>67</v>
      </c>
      <c r="Z16" s="50"/>
      <c r="AA16" s="4"/>
    </row>
    <row r="17" spans="1:27">
      <c r="A17" s="15">
        <v>11</v>
      </c>
      <c r="B17" s="28">
        <v>3.5000000000000001E-3</v>
      </c>
      <c r="C17" s="29">
        <f t="shared" si="3"/>
        <v>2845947.2369834562</v>
      </c>
      <c r="D17" s="30">
        <f t="shared" si="8"/>
        <v>4155082.9659958468</v>
      </c>
      <c r="E17" s="19">
        <f t="shared" si="0"/>
        <v>2754876.9253999861</v>
      </c>
      <c r="F17" s="20">
        <f>D17*$R$20*$R$21/365</f>
        <v>1120164.8324766885</v>
      </c>
      <c r="G17" s="18">
        <f t="shared" si="1"/>
        <v>3875041.7578766746</v>
      </c>
      <c r="H17" s="31">
        <v>5.5</v>
      </c>
      <c r="I17" s="31">
        <v>0</v>
      </c>
      <c r="J17" s="32">
        <f t="shared" si="5"/>
        <v>21387586.220092032</v>
      </c>
      <c r="K17" s="32">
        <f t="shared" si="6"/>
        <v>15151823.089699924</v>
      </c>
      <c r="L17" s="32">
        <v>0</v>
      </c>
      <c r="M17" s="32">
        <v>0</v>
      </c>
      <c r="N17" s="32">
        <f t="shared" si="7"/>
        <v>10693793.110046016</v>
      </c>
      <c r="O17" s="44">
        <f t="shared" si="2"/>
        <v>10693793.110046016</v>
      </c>
      <c r="P17" s="40"/>
      <c r="Q17" s="25"/>
      <c r="R17" s="47"/>
      <c r="S17" s="25"/>
      <c r="U17" s="51"/>
      <c r="V17" s="4" t="s">
        <v>64</v>
      </c>
      <c r="W17" s="5">
        <f>SUM(J7:J21)</f>
        <v>324558889.52545232</v>
      </c>
      <c r="X17" s="5">
        <f>W17-W8</f>
        <v>247558889.52545232</v>
      </c>
      <c r="Y17" s="5">
        <f>X17*100/W8</f>
        <v>321.50505133175625</v>
      </c>
      <c r="Z17" s="5"/>
      <c r="AA17" s="53"/>
    </row>
    <row r="18" spans="1:27">
      <c r="A18" s="15">
        <v>12</v>
      </c>
      <c r="B18" s="28">
        <v>3.5000000000000001E-3</v>
      </c>
      <c r="C18" s="29">
        <f t="shared" si="3"/>
        <v>2835986.4216540144</v>
      </c>
      <c r="D18" s="30">
        <f t="shared" si="8"/>
        <v>4140540.1756148613</v>
      </c>
      <c r="E18" s="19">
        <f t="shared" si="0"/>
        <v>2745234.8561610864</v>
      </c>
      <c r="F18" s="20">
        <f t="shared" si="4"/>
        <v>1116244.2555630202</v>
      </c>
      <c r="G18" s="18">
        <f t="shared" si="1"/>
        <v>3861479.1117241066</v>
      </c>
      <c r="H18" s="31">
        <v>5.5</v>
      </c>
      <c r="I18" s="31">
        <v>0</v>
      </c>
      <c r="J18" s="32">
        <f t="shared" si="5"/>
        <v>21312729.66832171</v>
      </c>
      <c r="K18" s="32">
        <f t="shared" si="6"/>
        <v>15098791.708885975</v>
      </c>
      <c r="L18" s="32">
        <v>0</v>
      </c>
      <c r="M18" s="32">
        <v>0</v>
      </c>
      <c r="N18" s="32">
        <f t="shared" si="7"/>
        <v>10656364.834160855</v>
      </c>
      <c r="O18" s="44">
        <f t="shared" si="2"/>
        <v>10656364.834160855</v>
      </c>
      <c r="P18" s="40"/>
      <c r="Q18" s="25"/>
      <c r="R18" s="25"/>
      <c r="S18" s="25"/>
      <c r="V18" s="4" t="s">
        <v>65</v>
      </c>
      <c r="W18" s="5">
        <f>J32</f>
        <v>531438730.85629499</v>
      </c>
      <c r="X18" s="5">
        <f>W18-W8</f>
        <v>454438730.85629499</v>
      </c>
      <c r="Y18" s="5">
        <f>X18*100/W8</f>
        <v>590.18016994324023</v>
      </c>
      <c r="Z18" s="5"/>
    </row>
    <row r="19" spans="1:27">
      <c r="A19" s="15">
        <v>13</v>
      </c>
      <c r="B19" s="28">
        <v>3.5000000000000001E-3</v>
      </c>
      <c r="C19" s="29">
        <f t="shared" si="3"/>
        <v>2826060.4691782254</v>
      </c>
      <c r="D19" s="30">
        <f t="shared" si="8"/>
        <v>4126048.2850002097</v>
      </c>
      <c r="E19" s="19">
        <f t="shared" si="0"/>
        <v>2735626.5341645223</v>
      </c>
      <c r="F19" s="20">
        <f t="shared" si="4"/>
        <v>1112337.4006685498</v>
      </c>
      <c r="G19" s="18">
        <f t="shared" si="1"/>
        <v>3847963.9348330721</v>
      </c>
      <c r="H19" s="31">
        <v>5.5</v>
      </c>
      <c r="I19" s="31">
        <v>0</v>
      </c>
      <c r="J19" s="32">
        <f t="shared" si="5"/>
        <v>21238135.114482585</v>
      </c>
      <c r="K19" s="32">
        <f t="shared" si="6"/>
        <v>15045945.937904872</v>
      </c>
      <c r="L19" s="32">
        <v>0</v>
      </c>
      <c r="M19" s="32">
        <v>0</v>
      </c>
      <c r="N19" s="32">
        <f t="shared" si="7"/>
        <v>10619067.557241293</v>
      </c>
      <c r="O19" s="44">
        <f t="shared" si="2"/>
        <v>10619067.557241293</v>
      </c>
      <c r="P19" s="179" t="s">
        <v>43</v>
      </c>
      <c r="Q19" s="180"/>
      <c r="R19" s="54">
        <f>[1]asm!C24</f>
        <v>242</v>
      </c>
      <c r="S19" s="13" t="s">
        <v>33</v>
      </c>
      <c r="T19" s="55"/>
      <c r="W19" s="5">
        <f>W18-W17</f>
        <v>206879841.33084267</v>
      </c>
      <c r="X19" s="5">
        <f>X18-X17</f>
        <v>206879841.33084267</v>
      </c>
      <c r="Y19" s="5">
        <f>Y18-Y17</f>
        <v>268.67511861148398</v>
      </c>
      <c r="Z19" s="5"/>
    </row>
    <row r="20" spans="1:27">
      <c r="A20" s="15">
        <v>14</v>
      </c>
      <c r="B20" s="28">
        <v>3.5000000000000001E-3</v>
      </c>
      <c r="C20" s="29">
        <f t="shared" si="3"/>
        <v>2816169.2575361016</v>
      </c>
      <c r="D20" s="30">
        <f t="shared" si="8"/>
        <v>4111607.1160027091</v>
      </c>
      <c r="E20" s="19">
        <f t="shared" si="0"/>
        <v>2726051.8412949466</v>
      </c>
      <c r="F20" s="20">
        <f t="shared" si="4"/>
        <v>1108444.2197662098</v>
      </c>
      <c r="G20" s="18">
        <f t="shared" si="1"/>
        <v>3834496.0610611564</v>
      </c>
      <c r="H20" s="31">
        <v>5.5</v>
      </c>
      <c r="I20" s="31">
        <v>0</v>
      </c>
      <c r="J20" s="32">
        <f t="shared" si="5"/>
        <v>21163801.641581897</v>
      </c>
      <c r="K20" s="32">
        <f t="shared" si="6"/>
        <v>14993285.127122207</v>
      </c>
      <c r="L20" s="32">
        <v>0</v>
      </c>
      <c r="M20" s="32">
        <v>0</v>
      </c>
      <c r="N20" s="32">
        <f t="shared" si="7"/>
        <v>10581900.820790948</v>
      </c>
      <c r="O20" s="44">
        <f t="shared" si="2"/>
        <v>10581900.820790948</v>
      </c>
      <c r="P20" s="179" t="s">
        <v>44</v>
      </c>
      <c r="Q20" s="180"/>
      <c r="R20" s="56">
        <f>365-R19</f>
        <v>123</v>
      </c>
      <c r="S20" s="13" t="s">
        <v>33</v>
      </c>
      <c r="T20" s="55"/>
      <c r="Z20" s="5"/>
    </row>
    <row r="21" spans="1:27">
      <c r="A21" s="15">
        <v>15</v>
      </c>
      <c r="B21" s="28">
        <v>3.5000000000000001E-3</v>
      </c>
      <c r="C21" s="29">
        <f t="shared" si="3"/>
        <v>2806312.6651347256</v>
      </c>
      <c r="D21" s="30">
        <f t="shared" si="8"/>
        <v>4097216.4910967001</v>
      </c>
      <c r="E21" s="19">
        <f t="shared" si="0"/>
        <v>2716510.6598504148</v>
      </c>
      <c r="F21" s="20">
        <f t="shared" si="4"/>
        <v>1104564.6649970284</v>
      </c>
      <c r="G21" s="18">
        <f t="shared" si="1"/>
        <v>3821075.324847443</v>
      </c>
      <c r="H21" s="31">
        <v>5.5</v>
      </c>
      <c r="I21" s="31">
        <v>0</v>
      </c>
      <c r="J21" s="32">
        <f t="shared" si="5"/>
        <v>21089728.335836362</v>
      </c>
      <c r="K21" s="32">
        <f t="shared" si="6"/>
        <v>14940808.629177282</v>
      </c>
      <c r="L21" s="32">
        <v>0</v>
      </c>
      <c r="M21" s="32">
        <v>0</v>
      </c>
      <c r="N21" s="32">
        <f t="shared" si="7"/>
        <v>10544864.167918181</v>
      </c>
      <c r="O21" s="44">
        <f t="shared" si="2"/>
        <v>10544864.167918181</v>
      </c>
      <c r="P21" s="179" t="s">
        <v>45</v>
      </c>
      <c r="Q21" s="180"/>
      <c r="R21" s="57">
        <v>0.8</v>
      </c>
      <c r="S21" s="25"/>
    </row>
    <row r="22" spans="1:27">
      <c r="A22" s="15">
        <v>16</v>
      </c>
      <c r="B22" s="28">
        <v>3.5000000000000001E-3</v>
      </c>
      <c r="C22" s="29">
        <f t="shared" si="3"/>
        <v>2796490.5708067543</v>
      </c>
      <c r="D22" s="30">
        <f t="shared" si="8"/>
        <v>4082876.2333778618</v>
      </c>
      <c r="E22" s="19">
        <f t="shared" si="0"/>
        <v>2707002.8725409382</v>
      </c>
      <c r="F22" s="20">
        <f t="shared" si="4"/>
        <v>1100698.6886695386</v>
      </c>
      <c r="G22" s="18">
        <f t="shared" si="1"/>
        <v>3807701.5612104768</v>
      </c>
      <c r="H22" s="31">
        <v>5.5</v>
      </c>
      <c r="I22" s="31">
        <v>0</v>
      </c>
      <c r="J22" s="32">
        <f t="shared" si="5"/>
        <v>21015914.286660936</v>
      </c>
      <c r="K22" s="32">
        <f t="shared" si="6"/>
        <v>14888515.79897516</v>
      </c>
      <c r="L22" s="32">
        <v>0</v>
      </c>
      <c r="M22" s="32">
        <v>0</v>
      </c>
      <c r="N22" s="32">
        <f t="shared" si="7"/>
        <v>10507957.143330468</v>
      </c>
      <c r="O22" s="44">
        <f t="shared" si="2"/>
        <v>10507957.143330468</v>
      </c>
      <c r="P22" s="40"/>
      <c r="Q22" s="25"/>
      <c r="R22" s="25"/>
      <c r="S22" s="25"/>
      <c r="V22" s="58"/>
      <c r="Z22" s="59"/>
      <c r="AA22" s="59"/>
    </row>
    <row r="23" spans="1:27">
      <c r="A23" s="15">
        <v>17</v>
      </c>
      <c r="B23" s="28">
        <v>3.5000000000000001E-3</v>
      </c>
      <c r="C23" s="29">
        <f t="shared" si="3"/>
        <v>2786702.8538089306</v>
      </c>
      <c r="D23" s="30">
        <f t="shared" si="8"/>
        <v>4068586.1665610396</v>
      </c>
      <c r="E23" s="19">
        <f t="shared" si="0"/>
        <v>2697528.3624870456</v>
      </c>
      <c r="F23" s="20">
        <f t="shared" si="4"/>
        <v>1096846.2432591955</v>
      </c>
      <c r="G23" s="18">
        <f t="shared" si="1"/>
        <v>3794374.6057462413</v>
      </c>
      <c r="H23" s="31">
        <v>5.5</v>
      </c>
      <c r="I23" s="31">
        <v>0</v>
      </c>
      <c r="J23" s="32">
        <f t="shared" si="5"/>
        <v>20942358.586657621</v>
      </c>
      <c r="K23" s="32">
        <f t="shared" si="6"/>
        <v>14836405.99367875</v>
      </c>
      <c r="L23" s="32">
        <v>0</v>
      </c>
      <c r="M23" s="32">
        <v>0</v>
      </c>
      <c r="N23" s="32">
        <f t="shared" si="7"/>
        <v>10471179.29332881</v>
      </c>
      <c r="O23" s="44">
        <f t="shared" si="2"/>
        <v>10471179.29332881</v>
      </c>
      <c r="P23" s="179" t="s">
        <v>46</v>
      </c>
      <c r="Q23" s="180"/>
      <c r="R23" s="60">
        <f>R24*1.2</f>
        <v>6.6</v>
      </c>
      <c r="S23" s="61"/>
      <c r="T23" s="14"/>
      <c r="V23" s="62"/>
    </row>
    <row r="24" spans="1:27">
      <c r="A24" s="15">
        <v>18</v>
      </c>
      <c r="B24" s="28">
        <v>3.5000000000000001E-3</v>
      </c>
      <c r="C24" s="29">
        <f t="shared" si="3"/>
        <v>2776949.3938205997</v>
      </c>
      <c r="D24" s="30">
        <f t="shared" si="8"/>
        <v>4054346.1149780764</v>
      </c>
      <c r="E24" s="19">
        <f t="shared" si="0"/>
        <v>2688087.0132183409</v>
      </c>
      <c r="F24" s="20">
        <f t="shared" si="4"/>
        <v>1093007.2814077884</v>
      </c>
      <c r="G24" s="18">
        <f t="shared" si="1"/>
        <v>3781094.2946261293</v>
      </c>
      <c r="H24" s="31">
        <v>5.5</v>
      </c>
      <c r="I24" s="31">
        <v>0</v>
      </c>
      <c r="J24" s="32">
        <f t="shared" si="5"/>
        <v>20869060.331604328</v>
      </c>
      <c r="K24" s="32">
        <f t="shared" si="6"/>
        <v>14784478.572700875</v>
      </c>
      <c r="L24" s="32">
        <v>0</v>
      </c>
      <c r="M24" s="32">
        <v>0</v>
      </c>
      <c r="N24" s="32">
        <f t="shared" si="7"/>
        <v>10434530.165802164</v>
      </c>
      <c r="O24" s="44">
        <f>J24-N24</f>
        <v>10434530.165802164</v>
      </c>
      <c r="P24" s="179" t="s">
        <v>68</v>
      </c>
      <c r="Q24" s="180"/>
      <c r="R24" s="60">
        <v>5.5</v>
      </c>
      <c r="S24" s="61"/>
      <c r="T24" s="14"/>
    </row>
    <row r="25" spans="1:27">
      <c r="A25" s="15">
        <v>19</v>
      </c>
      <c r="B25" s="28">
        <v>3.5000000000000001E-3</v>
      </c>
      <c r="C25" s="29">
        <f t="shared" si="3"/>
        <v>2767230.0709422277</v>
      </c>
      <c r="D25" s="30">
        <f t="shared" si="8"/>
        <v>4040155.9035756532</v>
      </c>
      <c r="E25" s="19">
        <f t="shared" si="0"/>
        <v>2678678.7086720769</v>
      </c>
      <c r="F25" s="20">
        <f t="shared" si="4"/>
        <v>1089181.7559228609</v>
      </c>
      <c r="G25" s="18">
        <f t="shared" si="1"/>
        <v>3767860.4645949379</v>
      </c>
      <c r="H25" s="31">
        <v>5.5</v>
      </c>
      <c r="I25" s="31">
        <v>0</v>
      </c>
      <c r="J25" s="32">
        <f t="shared" si="5"/>
        <v>20796018.620443713</v>
      </c>
      <c r="K25" s="32">
        <f t="shared" si="6"/>
        <v>14732732.897696422</v>
      </c>
      <c r="L25" s="32">
        <v>0</v>
      </c>
      <c r="M25" s="32">
        <v>0</v>
      </c>
      <c r="N25" s="32">
        <f t="shared" si="7"/>
        <v>10398009.310221856</v>
      </c>
      <c r="O25" s="44">
        <f t="shared" ref="O25:O30" si="9">J25-N25</f>
        <v>10398009.310221856</v>
      </c>
      <c r="P25" s="63" t="s">
        <v>48</v>
      </c>
      <c r="Q25" s="64"/>
      <c r="R25" s="65">
        <f>W8</f>
        <v>77000000</v>
      </c>
      <c r="S25" s="61" t="s">
        <v>49</v>
      </c>
      <c r="T25" s="14"/>
    </row>
    <row r="26" spans="1:27">
      <c r="A26" s="15">
        <v>20</v>
      </c>
      <c r="B26" s="28">
        <v>3.5000000000000001E-3</v>
      </c>
      <c r="C26" s="29">
        <f t="shared" si="3"/>
        <v>2757544.76569393</v>
      </c>
      <c r="D26" s="30">
        <f t="shared" si="8"/>
        <v>4026015.3579131388</v>
      </c>
      <c r="E26" s="19">
        <f t="shared" si="0"/>
        <v>2669303.333191725</v>
      </c>
      <c r="F26" s="20">
        <f t="shared" si="4"/>
        <v>1085369.6197771314</v>
      </c>
      <c r="G26" s="18">
        <f t="shared" si="1"/>
        <v>3754672.9529688563</v>
      </c>
      <c r="H26" s="31">
        <v>5.5</v>
      </c>
      <c r="I26" s="31">
        <v>0</v>
      </c>
      <c r="J26" s="32">
        <f t="shared" si="5"/>
        <v>20723232.555272158</v>
      </c>
      <c r="K26" s="32">
        <f t="shared" si="6"/>
        <v>14681168.332554488</v>
      </c>
      <c r="L26" s="32">
        <v>0</v>
      </c>
      <c r="M26" s="32">
        <v>0</v>
      </c>
      <c r="N26" s="32">
        <f t="shared" si="7"/>
        <v>10361616.277636079</v>
      </c>
      <c r="O26" s="44">
        <f t="shared" si="9"/>
        <v>10361616.277636079</v>
      </c>
      <c r="P26" s="66" t="s">
        <v>37</v>
      </c>
      <c r="Q26" s="67" t="s">
        <v>50</v>
      </c>
      <c r="R26" s="68"/>
      <c r="T26" s="14"/>
    </row>
    <row r="27" spans="1:27">
      <c r="A27" s="15">
        <v>21</v>
      </c>
      <c r="B27" s="28">
        <v>3.5000000000000001E-3</v>
      </c>
      <c r="C27" s="29">
        <f t="shared" si="3"/>
        <v>2747893.3590140012</v>
      </c>
      <c r="D27" s="30">
        <f t="shared" si="8"/>
        <v>4011924.3041604431</v>
      </c>
      <c r="E27" s="19">
        <f t="shared" si="0"/>
        <v>2659960.7715255544</v>
      </c>
      <c r="F27" s="20">
        <f t="shared" si="4"/>
        <v>1081570.8261079113</v>
      </c>
      <c r="G27" s="18">
        <f t="shared" si="1"/>
        <v>3741531.5976334657</v>
      </c>
      <c r="H27" s="31">
        <v>5.5</v>
      </c>
      <c r="I27" s="31">
        <v>0</v>
      </c>
      <c r="J27" s="32">
        <f t="shared" si="5"/>
        <v>20650701.241328709</v>
      </c>
      <c r="K27" s="32">
        <f t="shared" si="6"/>
        <v>14629784.243390549</v>
      </c>
      <c r="L27" s="32">
        <v>0</v>
      </c>
      <c r="M27" s="32">
        <v>0</v>
      </c>
      <c r="N27" s="32">
        <f t="shared" si="7"/>
        <v>10325350.620664354</v>
      </c>
      <c r="O27" s="44">
        <f t="shared" si="9"/>
        <v>10325350.620664354</v>
      </c>
      <c r="P27" s="66"/>
      <c r="Q27" s="67" t="s">
        <v>51</v>
      </c>
      <c r="R27" s="68"/>
      <c r="T27" s="14"/>
    </row>
    <row r="28" spans="1:27">
      <c r="A28" s="15">
        <v>22</v>
      </c>
      <c r="B28" s="28">
        <v>3.5000000000000001E-3</v>
      </c>
      <c r="C28" s="29">
        <f t="shared" si="3"/>
        <v>2738275.7322574523</v>
      </c>
      <c r="D28" s="30">
        <f t="shared" si="8"/>
        <v>3997882.5690958817</v>
      </c>
      <c r="E28" s="19">
        <f t="shared" si="0"/>
        <v>2650650.9088252145</v>
      </c>
      <c r="F28" s="20">
        <f t="shared" si="4"/>
        <v>1077785.3282165336</v>
      </c>
      <c r="G28" s="18">
        <f t="shared" si="1"/>
        <v>3728436.2370417481</v>
      </c>
      <c r="H28" s="31">
        <v>5.5</v>
      </c>
      <c r="I28" s="31">
        <v>0</v>
      </c>
      <c r="J28" s="32">
        <f t="shared" si="5"/>
        <v>20578423.78698406</v>
      </c>
      <c r="K28" s="32">
        <f t="shared" si="6"/>
        <v>14578579.99853868</v>
      </c>
      <c r="L28" s="32">
        <v>0</v>
      </c>
      <c r="M28" s="32">
        <v>0</v>
      </c>
      <c r="N28" s="32">
        <f t="shared" si="7"/>
        <v>10289211.89349203</v>
      </c>
      <c r="O28" s="44">
        <f t="shared" si="9"/>
        <v>10289211.89349203</v>
      </c>
      <c r="P28" s="66"/>
      <c r="Q28" s="67" t="s">
        <v>52</v>
      </c>
      <c r="R28" s="68"/>
      <c r="T28" s="14"/>
    </row>
    <row r="29" spans="1:27">
      <c r="A29" s="15">
        <v>23</v>
      </c>
      <c r="B29" s="28">
        <v>3.5000000000000001E-3</v>
      </c>
      <c r="C29" s="29">
        <f t="shared" si="3"/>
        <v>2728691.7671945514</v>
      </c>
      <c r="D29" s="30">
        <f t="shared" si="8"/>
        <v>3983889.9801040464</v>
      </c>
      <c r="E29" s="19">
        <f t="shared" si="0"/>
        <v>2641373.6306443266</v>
      </c>
      <c r="F29" s="20">
        <f t="shared" si="4"/>
        <v>1074013.0795677761</v>
      </c>
      <c r="G29" s="18">
        <f t="shared" si="1"/>
        <v>3715386.7102121026</v>
      </c>
      <c r="H29" s="31">
        <v>5.5</v>
      </c>
      <c r="I29" s="31">
        <v>0</v>
      </c>
      <c r="J29" s="32">
        <f t="shared" si="5"/>
        <v>20506399.303729616</v>
      </c>
      <c r="K29" s="32">
        <f t="shared" si="6"/>
        <v>14527554.968543796</v>
      </c>
      <c r="L29" s="32">
        <v>0</v>
      </c>
      <c r="M29" s="32">
        <v>0</v>
      </c>
      <c r="N29" s="32">
        <f t="shared" si="7"/>
        <v>10253199.651864808</v>
      </c>
      <c r="O29" s="44">
        <f t="shared" si="9"/>
        <v>10253199.651864808</v>
      </c>
      <c r="P29" s="66"/>
      <c r="Q29" s="67" t="s">
        <v>53</v>
      </c>
      <c r="R29" s="68"/>
      <c r="T29" s="14"/>
    </row>
    <row r="30" spans="1:27">
      <c r="A30" s="15">
        <v>24</v>
      </c>
      <c r="B30" s="28">
        <v>3.5000000000000001E-3</v>
      </c>
      <c r="C30" s="29">
        <f t="shared" si="3"/>
        <v>2719141.3460093704</v>
      </c>
      <c r="D30" s="30">
        <f t="shared" si="8"/>
        <v>3969946.3651736826</v>
      </c>
      <c r="E30" s="19">
        <f t="shared" si="0"/>
        <v>2632128.8229370718</v>
      </c>
      <c r="F30" s="20">
        <f t="shared" si="4"/>
        <v>1070254.0337892887</v>
      </c>
      <c r="G30" s="18">
        <f t="shared" si="1"/>
        <v>3702382.8567263605</v>
      </c>
      <c r="H30" s="31">
        <v>5.5</v>
      </c>
      <c r="I30" s="31">
        <v>0</v>
      </c>
      <c r="J30" s="32">
        <f t="shared" si="5"/>
        <v>20434626.906166565</v>
      </c>
      <c r="K30" s="32">
        <f t="shared" si="6"/>
        <v>14476708.526153894</v>
      </c>
      <c r="L30" s="32">
        <v>0</v>
      </c>
      <c r="M30" s="32">
        <v>0</v>
      </c>
      <c r="N30" s="32">
        <f t="shared" si="7"/>
        <v>10217313.453083282</v>
      </c>
      <c r="O30" s="44">
        <f t="shared" si="9"/>
        <v>10217313.453083282</v>
      </c>
      <c r="P30" s="66"/>
      <c r="Q30" s="67" t="s">
        <v>54</v>
      </c>
      <c r="R30" s="68"/>
      <c r="T30" s="14"/>
    </row>
    <row r="31" spans="1:27">
      <c r="A31" s="15">
        <v>25</v>
      </c>
      <c r="B31" s="28">
        <v>3.5000000000000001E-3</v>
      </c>
      <c r="C31" s="29">
        <f t="shared" si="3"/>
        <v>2709624.3512983378</v>
      </c>
      <c r="D31" s="30">
        <f t="shared" si="8"/>
        <v>3956051.5528955748</v>
      </c>
      <c r="E31" s="19">
        <f t="shared" si="0"/>
        <v>2622916.372056792</v>
      </c>
      <c r="F31" s="20">
        <f t="shared" si="4"/>
        <v>1066508.1446710264</v>
      </c>
      <c r="G31" s="18">
        <f t="shared" si="1"/>
        <v>3689424.5167278182</v>
      </c>
      <c r="H31" s="31">
        <v>5.5</v>
      </c>
      <c r="I31" s="31">
        <v>0</v>
      </c>
      <c r="J31" s="32">
        <f t="shared" si="5"/>
        <v>20363105.711994983</v>
      </c>
      <c r="K31" s="32">
        <f t="shared" si="6"/>
        <v>14426040.046312356</v>
      </c>
      <c r="L31" s="32">
        <v>0</v>
      </c>
      <c r="M31" s="32">
        <v>0</v>
      </c>
      <c r="N31" s="32">
        <f t="shared" si="7"/>
        <v>10181552.855997492</v>
      </c>
      <c r="O31" s="44">
        <f>J31-N31</f>
        <v>10181552.855997492</v>
      </c>
      <c r="P31" s="69"/>
      <c r="Q31" s="70"/>
      <c r="T31" s="14"/>
    </row>
    <row r="32" spans="1:27">
      <c r="A32" s="15" t="s">
        <v>55</v>
      </c>
      <c r="B32" s="71">
        <f>SUM(B7:B31)</f>
        <v>0.10150000000000006</v>
      </c>
      <c r="C32" s="72">
        <f>AVERAGE(C6:C31)</f>
        <v>2833619.0541891176</v>
      </c>
      <c r="D32" s="73">
        <f>SUM(D7:D26)</f>
        <v>83264484.525589257</v>
      </c>
      <c r="E32" s="73"/>
      <c r="F32" s="73"/>
      <c r="G32" s="73"/>
      <c r="H32" s="74"/>
      <c r="I32" s="74"/>
      <c r="J32" s="75">
        <f>SUM(J7:J31)</f>
        <v>531438730.85629499</v>
      </c>
      <c r="K32" s="75">
        <f t="shared" ref="K32:M32" si="10">SUM(K7:N31)</f>
        <v>641988249.38522172</v>
      </c>
      <c r="L32" s="75">
        <f t="shared" si="10"/>
        <v>531438730.85629511</v>
      </c>
      <c r="M32" s="75">
        <f t="shared" si="10"/>
        <v>531438730.85629511</v>
      </c>
      <c r="N32" s="75">
        <f>SUM(N7:N31)</f>
        <v>265719365.42814749</v>
      </c>
      <c r="O32" s="76">
        <f>SUM(O7:O31)</f>
        <v>265719365.42814749</v>
      </c>
      <c r="P32" s="77"/>
    </row>
    <row r="33" spans="1:20">
      <c r="A33" s="78"/>
      <c r="B33" s="79"/>
      <c r="C33" s="80"/>
      <c r="D33" s="73"/>
      <c r="E33" s="81"/>
      <c r="F33" s="81"/>
      <c r="G33" s="81"/>
      <c r="H33" s="82"/>
      <c r="I33" s="82"/>
      <c r="J33" s="77"/>
      <c r="K33" s="77"/>
      <c r="L33" s="77"/>
      <c r="M33" s="77"/>
      <c r="N33" s="83" t="s">
        <v>56</v>
      </c>
      <c r="O33" s="83">
        <v>5.75</v>
      </c>
      <c r="P33" s="77" t="s">
        <v>57</v>
      </c>
      <c r="Q33" s="3">
        <f>9/12</f>
        <v>0.75</v>
      </c>
    </row>
    <row r="34" spans="1:20">
      <c r="B34" s="4"/>
      <c r="C34" s="84"/>
      <c r="D34" s="85">
        <f>D32*1.07</f>
        <v>89092998.442380518</v>
      </c>
      <c r="E34" s="86"/>
      <c r="F34" s="86"/>
      <c r="G34" s="86"/>
      <c r="H34" s="86"/>
      <c r="J34" s="87" t="s">
        <v>58</v>
      </c>
      <c r="K34" s="88">
        <f>NPV(0.1%,K7:K26)</f>
        <v>300500352.82809144</v>
      </c>
      <c r="L34" s="88"/>
      <c r="M34" s="88"/>
      <c r="N34" s="89" t="s">
        <v>58</v>
      </c>
      <c r="O34" s="89">
        <f>NPV(10%,O7:O26)</f>
        <v>92323037.904571101</v>
      </c>
      <c r="P34" s="90" t="s">
        <v>49</v>
      </c>
      <c r="R34" s="3">
        <f>(IF([1]การใช้ไฟย้อนหลัง!F23&gt;=1,1,[1]การใช้ไฟย้อนหลัง!F23))</f>
        <v>1</v>
      </c>
    </row>
    <row r="35" spans="1:20">
      <c r="B35" s="4"/>
      <c r="C35" s="91" t="s">
        <v>59</v>
      </c>
      <c r="D35" s="92">
        <f>AVERAGE(D6:D26)</f>
        <v>4173546.882170917</v>
      </c>
      <c r="E35" s="92">
        <f>D35*100/[1]การใช้ไฟย้อนหลัง!R21</f>
        <v>198.31388448397232</v>
      </c>
      <c r="F35" s="92"/>
      <c r="G35" s="92"/>
      <c r="H35" s="92"/>
      <c r="I35" s="87"/>
      <c r="N35" s="89" t="s">
        <v>60</v>
      </c>
      <c r="O35" s="93">
        <f>IRR(O6:O31,0.1)</f>
        <v>0.13503245082532178</v>
      </c>
      <c r="Q35" s="4"/>
    </row>
    <row r="36" spans="1:20">
      <c r="B36" s="4"/>
      <c r="C36" s="91"/>
      <c r="D36" s="92"/>
      <c r="E36" s="92"/>
      <c r="F36" s="92"/>
      <c r="G36" s="92"/>
      <c r="H36" s="92"/>
      <c r="I36" s="87"/>
      <c r="N36" s="89"/>
      <c r="O36" s="93"/>
      <c r="Q36" s="4"/>
    </row>
    <row r="37" spans="1:20">
      <c r="B37" s="4"/>
      <c r="C37" s="4"/>
      <c r="D37" s="52"/>
      <c r="E37" s="52"/>
      <c r="F37" s="52"/>
      <c r="G37" s="52"/>
      <c r="H37" s="52"/>
      <c r="I37" s="87"/>
      <c r="Q37" s="4"/>
      <c r="T37" s="94"/>
    </row>
    <row r="38" spans="1:20">
      <c r="C38" s="4"/>
      <c r="D38" s="95"/>
      <c r="E38" s="95"/>
      <c r="F38" s="95"/>
      <c r="G38" s="95"/>
      <c r="H38" s="95"/>
      <c r="I38" s="87"/>
      <c r="Q38" s="4"/>
    </row>
    <row r="39" spans="1:20">
      <c r="B39" s="94"/>
    </row>
    <row r="40" spans="1:20">
      <c r="B40" s="96"/>
      <c r="C40" s="50"/>
      <c r="D40" s="95"/>
      <c r="E40" s="95"/>
      <c r="F40" s="95"/>
      <c r="G40" s="95"/>
      <c r="H40" s="95"/>
      <c r="I40" s="87"/>
    </row>
    <row r="41" spans="1:20">
      <c r="C41" s="50"/>
      <c r="D41" s="95"/>
      <c r="E41" s="95"/>
      <c r="F41" s="95"/>
      <c r="G41" s="95"/>
      <c r="H41" s="95"/>
      <c r="I41" s="87"/>
    </row>
    <row r="45" spans="1:20">
      <c r="J45" s="3"/>
      <c r="K45" s="3"/>
    </row>
  </sheetData>
  <mergeCells count="20">
    <mergeCell ref="P16:Q16"/>
    <mergeCell ref="A2:O2"/>
    <mergeCell ref="A3:G3"/>
    <mergeCell ref="H3:J3"/>
    <mergeCell ref="L3:N4"/>
    <mergeCell ref="O3:O4"/>
    <mergeCell ref="A4:A5"/>
    <mergeCell ref="B4:B5"/>
    <mergeCell ref="C4:C5"/>
    <mergeCell ref="E4:G4"/>
    <mergeCell ref="P5:Q5"/>
    <mergeCell ref="P7:Q7"/>
    <mergeCell ref="P11:Q11"/>
    <mergeCell ref="P12:Q12"/>
    <mergeCell ref="P14:Q14"/>
    <mergeCell ref="P19:Q19"/>
    <mergeCell ref="P20:Q20"/>
    <mergeCell ref="P21:Q21"/>
    <mergeCell ref="P23:Q23"/>
    <mergeCell ref="P24:Q2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18F3-26C0-4CFE-B13F-F0F1F36975E5}">
  <sheetPr>
    <pageSetUpPr fitToPage="1"/>
  </sheetPr>
  <dimension ref="A1:AA45"/>
  <sheetViews>
    <sheetView zoomScaleNormal="100" workbookViewId="0">
      <selection activeCell="J22" sqref="J22"/>
    </sheetView>
  </sheetViews>
  <sheetFormatPr defaultColWidth="10.28515625" defaultRowHeight="24"/>
  <cols>
    <col min="1" max="1" width="7.140625" style="3" customWidth="1"/>
    <col min="2" max="2" width="13" style="3" customWidth="1"/>
    <col min="3" max="3" width="16.42578125" style="3" customWidth="1"/>
    <col min="4" max="4" width="19.5703125" style="3" customWidth="1"/>
    <col min="5" max="5" width="16.42578125" style="3" customWidth="1"/>
    <col min="6" max="6" width="19.28515625" style="3" customWidth="1"/>
    <col min="7" max="7" width="15.7109375" style="3" customWidth="1"/>
    <col min="8" max="8" width="12.28515625" style="3" customWidth="1"/>
    <col min="9" max="9" width="16.140625" style="3" hidden="1" customWidth="1"/>
    <col min="10" max="10" width="21.42578125" style="4" customWidth="1"/>
    <col min="11" max="11" width="25.7109375" style="4" hidden="1" customWidth="1"/>
    <col min="12" max="12" width="19.140625" style="3" hidden="1" customWidth="1"/>
    <col min="13" max="13" width="19.7109375" style="3" hidden="1" customWidth="1"/>
    <col min="14" max="14" width="19.85546875" style="3" customWidth="1"/>
    <col min="15" max="15" width="16.85546875" style="3" bestFit="1" customWidth="1"/>
    <col min="16" max="16" width="18.42578125" style="3" customWidth="1"/>
    <col min="17" max="17" width="16.28515625" style="3" customWidth="1"/>
    <col min="18" max="18" width="17.7109375" style="3" customWidth="1"/>
    <col min="19" max="19" width="14.85546875" style="3" bestFit="1" customWidth="1"/>
    <col min="20" max="20" width="15.140625" style="3" bestFit="1" customWidth="1"/>
    <col min="21" max="21" width="7" style="3" bestFit="1" customWidth="1"/>
    <col min="22" max="22" width="14.28515625" style="4" customWidth="1"/>
    <col min="23" max="23" width="17.5703125" style="5" bestFit="1" customWidth="1"/>
    <col min="24" max="24" width="19.140625" style="5" customWidth="1"/>
    <col min="25" max="25" width="17" style="5" customWidth="1"/>
    <col min="26" max="28" width="10.140625" style="3" customWidth="1"/>
    <col min="29" max="29" width="12.5703125" style="3" customWidth="1"/>
    <col min="30" max="35" width="10.140625" style="3" customWidth="1"/>
    <col min="36" max="16384" width="10.28515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1"/>
      <c r="M1" s="1"/>
      <c r="N1" s="1"/>
      <c r="O1" s="1"/>
      <c r="P1" s="1"/>
    </row>
    <row r="2" spans="1:27" ht="30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7"/>
      <c r="S2" s="8"/>
    </row>
    <row r="3" spans="1:27" ht="30">
      <c r="A3" s="182" t="s">
        <v>2</v>
      </c>
      <c r="B3" s="183"/>
      <c r="C3" s="183"/>
      <c r="D3" s="183"/>
      <c r="E3" s="183"/>
      <c r="F3" s="183"/>
      <c r="G3" s="184"/>
      <c r="H3" s="182" t="s">
        <v>3</v>
      </c>
      <c r="I3" s="183"/>
      <c r="J3" s="184"/>
      <c r="K3" s="6"/>
      <c r="L3" s="185" t="s">
        <v>4</v>
      </c>
      <c r="M3" s="186"/>
      <c r="N3" s="187"/>
      <c r="O3" s="191" t="s">
        <v>5</v>
      </c>
      <c r="P3" s="7"/>
      <c r="S3" s="8"/>
    </row>
    <row r="4" spans="1:27" ht="72">
      <c r="A4" s="193" t="s">
        <v>6</v>
      </c>
      <c r="B4" s="195" t="s">
        <v>7</v>
      </c>
      <c r="C4" s="195" t="s">
        <v>8</v>
      </c>
      <c r="D4" s="10" t="s">
        <v>9</v>
      </c>
      <c r="E4" s="195" t="s">
        <v>10</v>
      </c>
      <c r="F4" s="195"/>
      <c r="G4" s="195"/>
      <c r="H4" s="9" t="s">
        <v>11</v>
      </c>
      <c r="I4" s="9" t="s">
        <v>12</v>
      </c>
      <c r="J4" s="9" t="s">
        <v>13</v>
      </c>
      <c r="K4" s="9"/>
      <c r="L4" s="188"/>
      <c r="M4" s="189"/>
      <c r="N4" s="190"/>
      <c r="O4" s="192"/>
      <c r="P4" s="7"/>
    </row>
    <row r="5" spans="1:27">
      <c r="A5" s="194"/>
      <c r="B5" s="195"/>
      <c r="C5" s="195"/>
      <c r="D5" s="9"/>
      <c r="E5" s="11" t="s">
        <v>14</v>
      </c>
      <c r="F5" s="11" t="s">
        <v>15</v>
      </c>
      <c r="G5" s="11" t="s">
        <v>16</v>
      </c>
      <c r="H5" s="9" t="s">
        <v>17</v>
      </c>
      <c r="I5" s="9" t="s">
        <v>17</v>
      </c>
      <c r="J5" s="9" t="s">
        <v>18</v>
      </c>
      <c r="K5" s="9"/>
      <c r="L5" s="9" t="s">
        <v>17</v>
      </c>
      <c r="M5" s="9" t="s">
        <v>17</v>
      </c>
      <c r="N5" s="9" t="s">
        <v>19</v>
      </c>
      <c r="O5" s="9" t="s">
        <v>19</v>
      </c>
      <c r="P5" s="179" t="s">
        <v>20</v>
      </c>
      <c r="Q5" s="180"/>
      <c r="R5" s="12">
        <v>3000000</v>
      </c>
      <c r="S5" s="13" t="s">
        <v>21</v>
      </c>
      <c r="V5" s="3"/>
      <c r="W5" s="3"/>
      <c r="X5" s="3"/>
      <c r="Y5" s="3"/>
    </row>
    <row r="6" spans="1:27">
      <c r="A6" s="15">
        <v>0</v>
      </c>
      <c r="B6" s="16"/>
      <c r="C6" s="17">
        <f>R5</f>
        <v>3000000</v>
      </c>
      <c r="D6" s="18">
        <f>R14</f>
        <v>4380000</v>
      </c>
      <c r="E6" s="19">
        <f t="shared" ref="E6:E22" si="0">D6*$R$19/365</f>
        <v>2904000</v>
      </c>
      <c r="F6" s="20">
        <f t="shared" ref="F6:F22" si="1">D6*$R$20*$R$21/365</f>
        <v>1180800</v>
      </c>
      <c r="G6" s="18">
        <f>E6+F6</f>
        <v>4084800</v>
      </c>
      <c r="H6" s="21"/>
      <c r="I6" s="21"/>
      <c r="J6" s="22"/>
      <c r="K6" s="22">
        <f>-125400000</f>
        <v>-125400000</v>
      </c>
      <c r="L6" s="16"/>
      <c r="M6" s="16"/>
      <c r="N6" s="16"/>
      <c r="O6" s="163">
        <f>-O34</f>
        <v>-77000000</v>
      </c>
      <c r="P6" s="24"/>
      <c r="Q6" s="25"/>
      <c r="R6" s="26"/>
      <c r="S6" s="13"/>
      <c r="V6" s="3"/>
      <c r="W6" s="3"/>
      <c r="X6" s="3"/>
      <c r="Y6" s="3"/>
    </row>
    <row r="7" spans="1:27" ht="25.5">
      <c r="A7" s="27">
        <v>1</v>
      </c>
      <c r="B7" s="28">
        <v>1.7500000000000002E-2</v>
      </c>
      <c r="C7" s="29">
        <f>C6*(1-B7)</f>
        <v>2947500</v>
      </c>
      <c r="D7" s="30">
        <f>D6*(1-B7)</f>
        <v>4303350</v>
      </c>
      <c r="E7" s="19">
        <f t="shared" si="0"/>
        <v>2853180</v>
      </c>
      <c r="F7" s="20">
        <f t="shared" si="1"/>
        <v>1160136</v>
      </c>
      <c r="G7" s="18">
        <f t="shared" ref="G7:G22" si="2">E7+F7</f>
        <v>4013316</v>
      </c>
      <c r="H7" s="31">
        <v>4.5</v>
      </c>
      <c r="I7" s="31">
        <v>0</v>
      </c>
      <c r="J7" s="32">
        <f>(G6*H7)</f>
        <v>18381600</v>
      </c>
      <c r="K7" s="32">
        <f>(E7*H7)</f>
        <v>12839310</v>
      </c>
      <c r="L7" s="32">
        <v>0</v>
      </c>
      <c r="M7" s="32">
        <v>0</v>
      </c>
      <c r="N7" s="32">
        <f>J7*0.3</f>
        <v>5514480</v>
      </c>
      <c r="O7" s="33">
        <f t="shared" ref="O7:O21" si="3">J7-N7</f>
        <v>12867120</v>
      </c>
      <c r="P7" s="179" t="s">
        <v>24</v>
      </c>
      <c r="Q7" s="180"/>
      <c r="R7" s="12">
        <f>L33</f>
        <v>4380000</v>
      </c>
      <c r="S7" s="13" t="s">
        <v>25</v>
      </c>
      <c r="V7" s="3"/>
      <c r="W7" s="3"/>
      <c r="X7" s="3"/>
      <c r="Y7" s="3"/>
    </row>
    <row r="8" spans="1:27" ht="25.5">
      <c r="A8" s="27">
        <v>2</v>
      </c>
      <c r="B8" s="28">
        <v>3.5000000000000001E-3</v>
      </c>
      <c r="C8" s="29">
        <f t="shared" ref="C8:C21" si="4">C7*(1-B8)</f>
        <v>2937183.75</v>
      </c>
      <c r="D8" s="30">
        <f>D7*(1-B8)</f>
        <v>4288288.2750000004</v>
      </c>
      <c r="E8" s="19">
        <f t="shared" si="0"/>
        <v>2843193.87</v>
      </c>
      <c r="F8" s="20">
        <f t="shared" si="1"/>
        <v>1156075.5240000002</v>
      </c>
      <c r="G8" s="18">
        <f t="shared" si="2"/>
        <v>3999269.3940000003</v>
      </c>
      <c r="H8" s="31">
        <v>4.5</v>
      </c>
      <c r="I8" s="31">
        <v>0</v>
      </c>
      <c r="J8" s="32">
        <f t="shared" ref="J8:J21" si="5">(G7*H8)</f>
        <v>18059922</v>
      </c>
      <c r="K8" s="32">
        <f t="shared" ref="K8:K22" si="6">(E8*H8)</f>
        <v>12794372.415000001</v>
      </c>
      <c r="L8" s="32">
        <v>0</v>
      </c>
      <c r="M8" s="32">
        <v>0</v>
      </c>
      <c r="N8" s="32">
        <f t="shared" ref="N8:N21" si="7">J8*0.3</f>
        <v>5417976.5999999996</v>
      </c>
      <c r="O8" s="33">
        <f t="shared" si="3"/>
        <v>12641945.4</v>
      </c>
      <c r="P8" s="34" t="s">
        <v>72</v>
      </c>
      <c r="Q8" s="35">
        <f>SUM(O7:O12)</f>
        <v>75635924.841091543</v>
      </c>
      <c r="R8" s="35"/>
      <c r="S8" s="13"/>
      <c r="V8" s="3"/>
      <c r="W8" s="3"/>
      <c r="X8" s="3"/>
      <c r="Y8" s="3"/>
    </row>
    <row r="9" spans="1:27" ht="25.5">
      <c r="A9" s="27">
        <v>3</v>
      </c>
      <c r="B9" s="28">
        <v>3.5000000000000001E-3</v>
      </c>
      <c r="C9" s="29">
        <f t="shared" si="4"/>
        <v>2926903.6068750001</v>
      </c>
      <c r="D9" s="30">
        <f t="shared" ref="D9:D21" si="8">D8*(1-B9)</f>
        <v>4273279.2660375005</v>
      </c>
      <c r="E9" s="19">
        <f t="shared" si="0"/>
        <v>2833242.6914550005</v>
      </c>
      <c r="F9" s="20">
        <f t="shared" si="1"/>
        <v>1152029.2596660003</v>
      </c>
      <c r="G9" s="18">
        <f t="shared" si="2"/>
        <v>3985271.9511210006</v>
      </c>
      <c r="H9" s="31">
        <v>4.5</v>
      </c>
      <c r="I9" s="31">
        <v>0</v>
      </c>
      <c r="J9" s="32">
        <f t="shared" si="5"/>
        <v>17996712.273000002</v>
      </c>
      <c r="K9" s="32">
        <f t="shared" si="6"/>
        <v>12749592.111547502</v>
      </c>
      <c r="L9" s="32">
        <v>0</v>
      </c>
      <c r="M9" s="32">
        <v>0</v>
      </c>
      <c r="N9" s="32">
        <f t="shared" si="7"/>
        <v>5399013.6819000002</v>
      </c>
      <c r="O9" s="33">
        <f t="shared" si="3"/>
        <v>12597698.591100002</v>
      </c>
      <c r="P9" s="36" t="s">
        <v>29</v>
      </c>
      <c r="Q9" s="37">
        <f>SUM(N7:N12)</f>
        <v>32415396.360467806</v>
      </c>
      <c r="R9" s="38"/>
      <c r="S9" s="39"/>
      <c r="V9" s="3"/>
      <c r="W9" s="3"/>
      <c r="X9" s="3"/>
      <c r="Y9" s="3"/>
    </row>
    <row r="10" spans="1:27" ht="25.5">
      <c r="A10" s="27">
        <v>4</v>
      </c>
      <c r="B10" s="28">
        <v>3.5000000000000001E-3</v>
      </c>
      <c r="C10" s="29">
        <f t="shared" si="4"/>
        <v>2916659.4442509376</v>
      </c>
      <c r="D10" s="30">
        <f t="shared" si="8"/>
        <v>4258322.7886063699</v>
      </c>
      <c r="E10" s="19">
        <f t="shared" si="0"/>
        <v>2823326.342034908</v>
      </c>
      <c r="F10" s="20">
        <f t="shared" si="1"/>
        <v>1147997.1572571695</v>
      </c>
      <c r="G10" s="18">
        <f t="shared" si="2"/>
        <v>3971323.4992920775</v>
      </c>
      <c r="H10" s="31">
        <v>4.5</v>
      </c>
      <c r="I10" s="31">
        <v>0</v>
      </c>
      <c r="J10" s="32">
        <f t="shared" si="5"/>
        <v>17933723.780044504</v>
      </c>
      <c r="K10" s="32">
        <f t="shared" si="6"/>
        <v>12704968.539157085</v>
      </c>
      <c r="L10" s="32">
        <v>0</v>
      </c>
      <c r="M10" s="32">
        <v>0</v>
      </c>
      <c r="N10" s="32">
        <f t="shared" si="7"/>
        <v>5380117.1340133511</v>
      </c>
      <c r="O10" s="33">
        <f t="shared" si="3"/>
        <v>12553606.646031152</v>
      </c>
      <c r="P10" s="40"/>
      <c r="Q10" s="25"/>
      <c r="R10" s="41"/>
      <c r="S10" s="39"/>
      <c r="V10" s="3"/>
      <c r="W10" s="3"/>
      <c r="X10" s="3"/>
      <c r="Y10" s="3"/>
    </row>
    <row r="11" spans="1:27" ht="25.5">
      <c r="A11" s="27">
        <v>5</v>
      </c>
      <c r="B11" s="28">
        <v>3.5000000000000001E-3</v>
      </c>
      <c r="C11" s="29">
        <f t="shared" si="4"/>
        <v>2906451.1361960596</v>
      </c>
      <c r="D11" s="30">
        <f t="shared" si="8"/>
        <v>4243418.6588462479</v>
      </c>
      <c r="E11" s="19">
        <f t="shared" si="0"/>
        <v>2813444.6998377861</v>
      </c>
      <c r="F11" s="20">
        <f t="shared" si="1"/>
        <v>1143979.1672067693</v>
      </c>
      <c r="G11" s="18">
        <f t="shared" si="2"/>
        <v>3957423.8670445555</v>
      </c>
      <c r="H11" s="31">
        <v>4.5</v>
      </c>
      <c r="I11" s="31">
        <v>0</v>
      </c>
      <c r="J11" s="32">
        <f t="shared" si="5"/>
        <v>17870955.746814348</v>
      </c>
      <c r="K11" s="32">
        <f t="shared" si="6"/>
        <v>12660501.149270037</v>
      </c>
      <c r="L11" s="32">
        <v>0</v>
      </c>
      <c r="M11" s="32">
        <v>0</v>
      </c>
      <c r="N11" s="32">
        <f t="shared" si="7"/>
        <v>5361286.7240443043</v>
      </c>
      <c r="O11" s="33">
        <f t="shared" si="3"/>
        <v>12509669.022770043</v>
      </c>
      <c r="P11" s="179" t="s">
        <v>32</v>
      </c>
      <c r="Q11" s="180"/>
      <c r="R11" s="12">
        <f>[1]asm!C22</f>
        <v>10</v>
      </c>
      <c r="S11" s="13" t="s">
        <v>33</v>
      </c>
      <c r="V11" s="3"/>
      <c r="W11" s="3"/>
      <c r="X11" s="3"/>
      <c r="Y11" s="3"/>
    </row>
    <row r="12" spans="1:27" ht="25.5">
      <c r="A12" s="27">
        <v>6</v>
      </c>
      <c r="B12" s="28">
        <v>3.5000000000000001E-3</v>
      </c>
      <c r="C12" s="29">
        <f t="shared" si="4"/>
        <v>2896278.5572193735</v>
      </c>
      <c r="D12" s="30">
        <f t="shared" si="8"/>
        <v>4228566.6935402863</v>
      </c>
      <c r="E12" s="19">
        <f t="shared" si="0"/>
        <v>2803597.6433883542</v>
      </c>
      <c r="F12" s="20">
        <f t="shared" si="1"/>
        <v>1139975.2401215457</v>
      </c>
      <c r="G12" s="18">
        <f t="shared" si="2"/>
        <v>3943572.8835099</v>
      </c>
      <c r="H12" s="31">
        <v>4.5</v>
      </c>
      <c r="I12" s="31">
        <v>0</v>
      </c>
      <c r="J12" s="32">
        <f t="shared" si="5"/>
        <v>17808407.4017005</v>
      </c>
      <c r="K12" s="32">
        <f t="shared" si="6"/>
        <v>12616189.395247594</v>
      </c>
      <c r="L12" s="32">
        <v>0</v>
      </c>
      <c r="M12" s="32">
        <v>0</v>
      </c>
      <c r="N12" s="32">
        <f t="shared" si="7"/>
        <v>5342522.2205101503</v>
      </c>
      <c r="O12" s="33">
        <f t="shared" si="3"/>
        <v>12465885.181190349</v>
      </c>
      <c r="P12" s="196" t="s">
        <v>35</v>
      </c>
      <c r="Q12" s="197"/>
      <c r="R12" s="43">
        <f>R11*100/365</f>
        <v>2.7397260273972601</v>
      </c>
      <c r="S12" s="13"/>
      <c r="V12" s="3"/>
      <c r="W12" s="3"/>
      <c r="X12" s="3"/>
      <c r="Y12" s="3"/>
    </row>
    <row r="13" spans="1:27">
      <c r="A13" s="15">
        <v>7</v>
      </c>
      <c r="B13" s="28">
        <v>3.5000000000000001E-3</v>
      </c>
      <c r="C13" s="29">
        <f t="shared" si="4"/>
        <v>2886141.5822691061</v>
      </c>
      <c r="D13" s="30">
        <f t="shared" si="8"/>
        <v>4213766.7101128958</v>
      </c>
      <c r="E13" s="19">
        <f t="shared" si="0"/>
        <v>2793785.0516364952</v>
      </c>
      <c r="F13" s="20">
        <f t="shared" si="1"/>
        <v>1135985.3267811206</v>
      </c>
      <c r="G13" s="18">
        <f t="shared" si="2"/>
        <v>3929770.3784176158</v>
      </c>
      <c r="H13" s="31">
        <v>4.5</v>
      </c>
      <c r="I13" s="31">
        <v>0</v>
      </c>
      <c r="J13" s="32">
        <f t="shared" si="5"/>
        <v>17746077.97579455</v>
      </c>
      <c r="K13" s="32">
        <f t="shared" si="6"/>
        <v>12572032.732364228</v>
      </c>
      <c r="L13" s="32">
        <v>0</v>
      </c>
      <c r="M13" s="32">
        <v>0</v>
      </c>
      <c r="N13" s="32">
        <f t="shared" si="7"/>
        <v>5323823.3927383646</v>
      </c>
      <c r="O13" s="44">
        <f t="shared" si="3"/>
        <v>12422254.583056185</v>
      </c>
      <c r="P13" s="40"/>
      <c r="Q13" s="35">
        <f>SUM(O7:O13)</f>
        <v>88058179.424147725</v>
      </c>
      <c r="R13" s="45">
        <f>O12/12*9</f>
        <v>9349413.8858927619</v>
      </c>
      <c r="S13" s="46">
        <f>SUM(Q13:R13)</f>
        <v>97407593.310040489</v>
      </c>
      <c r="V13" s="3"/>
      <c r="W13" s="3"/>
      <c r="X13" s="3"/>
      <c r="Y13" s="3"/>
    </row>
    <row r="14" spans="1:27">
      <c r="A14" s="15">
        <v>8</v>
      </c>
      <c r="B14" s="28">
        <v>3.5000000000000001E-3</v>
      </c>
      <c r="C14" s="29">
        <f t="shared" si="4"/>
        <v>2876040.0867311643</v>
      </c>
      <c r="D14" s="30">
        <f t="shared" si="8"/>
        <v>4199018.5266275005</v>
      </c>
      <c r="E14" s="19">
        <f t="shared" si="0"/>
        <v>2784006.8039557678</v>
      </c>
      <c r="F14" s="20">
        <f t="shared" si="1"/>
        <v>1132009.3781373864</v>
      </c>
      <c r="G14" s="18">
        <f t="shared" si="2"/>
        <v>3916016.1820931542</v>
      </c>
      <c r="H14" s="31">
        <v>4.5</v>
      </c>
      <c r="I14" s="31">
        <v>0</v>
      </c>
      <c r="J14" s="32">
        <f t="shared" si="5"/>
        <v>17683966.702879272</v>
      </c>
      <c r="K14" s="32">
        <f t="shared" si="6"/>
        <v>12528030.617800955</v>
      </c>
      <c r="L14" s="32">
        <v>0</v>
      </c>
      <c r="M14" s="32">
        <v>0</v>
      </c>
      <c r="N14" s="32">
        <f t="shared" si="7"/>
        <v>5305190.0108637819</v>
      </c>
      <c r="O14" s="44">
        <f t="shared" si="3"/>
        <v>12378776.692015491</v>
      </c>
      <c r="P14" s="179" t="s">
        <v>38</v>
      </c>
      <c r="Q14" s="180"/>
      <c r="R14" s="12">
        <f>R7</f>
        <v>4380000</v>
      </c>
      <c r="S14" s="13" t="s">
        <v>25</v>
      </c>
      <c r="V14" s="3"/>
      <c r="W14" s="3"/>
      <c r="X14" s="3"/>
      <c r="Y14" s="3"/>
    </row>
    <row r="15" spans="1:27">
      <c r="A15" s="15">
        <v>9</v>
      </c>
      <c r="B15" s="28">
        <v>3.5000000000000001E-3</v>
      </c>
      <c r="C15" s="29">
        <f t="shared" si="4"/>
        <v>2865973.9464276051</v>
      </c>
      <c r="D15" s="30">
        <f t="shared" si="8"/>
        <v>4184321.9617843046</v>
      </c>
      <c r="E15" s="19">
        <f t="shared" si="0"/>
        <v>2774262.7801419226</v>
      </c>
      <c r="F15" s="20">
        <f t="shared" si="1"/>
        <v>1128047.3453139057</v>
      </c>
      <c r="G15" s="18">
        <f t="shared" si="2"/>
        <v>3902310.1254558284</v>
      </c>
      <c r="H15" s="31">
        <v>4.5</v>
      </c>
      <c r="I15" s="31">
        <v>0</v>
      </c>
      <c r="J15" s="32">
        <f t="shared" si="5"/>
        <v>17622072.819419194</v>
      </c>
      <c r="K15" s="32">
        <f t="shared" si="6"/>
        <v>12484182.510638652</v>
      </c>
      <c r="L15" s="32">
        <v>0</v>
      </c>
      <c r="M15" s="32">
        <v>0</v>
      </c>
      <c r="N15" s="32">
        <f t="shared" si="7"/>
        <v>5286621.8458257578</v>
      </c>
      <c r="O15" s="44">
        <f t="shared" si="3"/>
        <v>12335450.973593436</v>
      </c>
      <c r="P15" s="40"/>
      <c r="Q15" s="25"/>
      <c r="R15" s="47"/>
      <c r="S15" s="13"/>
      <c r="V15" s="3"/>
      <c r="W15" s="3"/>
      <c r="X15" s="3"/>
      <c r="Y15" s="3"/>
    </row>
    <row r="16" spans="1:27">
      <c r="A16" s="15">
        <v>10</v>
      </c>
      <c r="B16" s="28">
        <v>3.5000000000000001E-3</v>
      </c>
      <c r="C16" s="29">
        <f t="shared" si="4"/>
        <v>2855943.0376151088</v>
      </c>
      <c r="D16" s="30">
        <f t="shared" si="8"/>
        <v>4169676.8349180599</v>
      </c>
      <c r="E16" s="19">
        <f t="shared" si="0"/>
        <v>2764552.8604114261</v>
      </c>
      <c r="F16" s="20">
        <f t="shared" si="1"/>
        <v>1124099.1796053071</v>
      </c>
      <c r="G16" s="18">
        <f t="shared" si="2"/>
        <v>3888652.0400167331</v>
      </c>
      <c r="H16" s="31">
        <v>4.5</v>
      </c>
      <c r="I16" s="31">
        <v>0</v>
      </c>
      <c r="J16" s="32">
        <f t="shared" si="5"/>
        <v>17560395.564551227</v>
      </c>
      <c r="K16" s="32">
        <f t="shared" si="6"/>
        <v>12440487.871851418</v>
      </c>
      <c r="L16" s="32">
        <v>0</v>
      </c>
      <c r="M16" s="32">
        <v>0</v>
      </c>
      <c r="N16" s="32">
        <f t="shared" si="7"/>
        <v>5268118.6693653679</v>
      </c>
      <c r="O16" s="44">
        <f t="shared" si="3"/>
        <v>12292276.895185858</v>
      </c>
      <c r="P16" s="179" t="s">
        <v>41</v>
      </c>
      <c r="Q16" s="180"/>
      <c r="R16" s="48">
        <v>0.2</v>
      </c>
      <c r="S16" s="13"/>
      <c r="V16" s="3"/>
      <c r="W16" s="3"/>
      <c r="X16" s="3"/>
      <c r="Y16" s="3"/>
      <c r="AA16" s="4"/>
    </row>
    <row r="17" spans="1:27">
      <c r="A17" s="15">
        <v>11</v>
      </c>
      <c r="B17" s="28">
        <v>3.5000000000000001E-3</v>
      </c>
      <c r="C17" s="29">
        <f t="shared" si="4"/>
        <v>2845947.2369834562</v>
      </c>
      <c r="D17" s="30">
        <f t="shared" si="8"/>
        <v>4155082.9659958468</v>
      </c>
      <c r="E17" s="19">
        <f t="shared" si="0"/>
        <v>2754876.9253999861</v>
      </c>
      <c r="F17" s="20">
        <f t="shared" si="1"/>
        <v>1120164.8324766885</v>
      </c>
      <c r="G17" s="18">
        <f t="shared" si="2"/>
        <v>3875041.7578766746</v>
      </c>
      <c r="H17" s="31">
        <v>4.5</v>
      </c>
      <c r="I17" s="31">
        <v>0</v>
      </c>
      <c r="J17" s="32">
        <f t="shared" si="5"/>
        <v>17498934.180075299</v>
      </c>
      <c r="K17" s="32">
        <f t="shared" si="6"/>
        <v>12396946.164299937</v>
      </c>
      <c r="L17" s="32">
        <v>0</v>
      </c>
      <c r="M17" s="32">
        <v>0</v>
      </c>
      <c r="N17" s="32">
        <f t="shared" si="7"/>
        <v>5249680.2540225899</v>
      </c>
      <c r="O17" s="44">
        <f t="shared" si="3"/>
        <v>12249253.926052708</v>
      </c>
      <c r="P17" s="40"/>
      <c r="Q17" s="25"/>
      <c r="R17" s="47"/>
      <c r="S17" s="25"/>
      <c r="V17" s="3"/>
      <c r="W17" s="3"/>
      <c r="X17" s="3"/>
      <c r="Y17" s="3"/>
      <c r="AA17" s="53"/>
    </row>
    <row r="18" spans="1:27">
      <c r="A18" s="15">
        <v>12</v>
      </c>
      <c r="B18" s="28">
        <v>3.5000000000000001E-3</v>
      </c>
      <c r="C18" s="29">
        <f t="shared" si="4"/>
        <v>2835986.4216540144</v>
      </c>
      <c r="D18" s="30">
        <f t="shared" si="8"/>
        <v>4140540.1756148613</v>
      </c>
      <c r="E18" s="19">
        <f t="shared" si="0"/>
        <v>2745234.8561610864</v>
      </c>
      <c r="F18" s="20">
        <f t="shared" si="1"/>
        <v>1116244.2555630202</v>
      </c>
      <c r="G18" s="18">
        <f t="shared" si="2"/>
        <v>3861479.1117241066</v>
      </c>
      <c r="H18" s="31">
        <v>4.5</v>
      </c>
      <c r="I18" s="31">
        <v>0</v>
      </c>
      <c r="J18" s="32">
        <f t="shared" si="5"/>
        <v>17437687.910445035</v>
      </c>
      <c r="K18" s="32">
        <f t="shared" si="6"/>
        <v>12353556.852724889</v>
      </c>
      <c r="L18" s="32">
        <v>0</v>
      </c>
      <c r="M18" s="32">
        <v>0</v>
      </c>
      <c r="N18" s="32">
        <f t="shared" si="7"/>
        <v>5231306.3731335104</v>
      </c>
      <c r="O18" s="44">
        <f t="shared" si="3"/>
        <v>12206381.537311524</v>
      </c>
      <c r="P18" s="40"/>
      <c r="Q18" s="25"/>
      <c r="R18" s="25"/>
      <c r="S18" s="25"/>
      <c r="Z18" s="5"/>
    </row>
    <row r="19" spans="1:27">
      <c r="A19" s="15">
        <v>13</v>
      </c>
      <c r="B19" s="28">
        <v>3.5000000000000001E-3</v>
      </c>
      <c r="C19" s="29">
        <f t="shared" si="4"/>
        <v>2826060.4691782254</v>
      </c>
      <c r="D19" s="30">
        <f t="shared" si="8"/>
        <v>4126048.2850002097</v>
      </c>
      <c r="E19" s="19">
        <f t="shared" si="0"/>
        <v>2735626.5341645223</v>
      </c>
      <c r="F19" s="20">
        <f t="shared" si="1"/>
        <v>1112337.4006685498</v>
      </c>
      <c r="G19" s="18">
        <f t="shared" si="2"/>
        <v>3847963.9348330721</v>
      </c>
      <c r="H19" s="31">
        <v>4.5</v>
      </c>
      <c r="I19" s="31">
        <v>0</v>
      </c>
      <c r="J19" s="32">
        <f t="shared" si="5"/>
        <v>17376656.002758481</v>
      </c>
      <c r="K19" s="32">
        <f t="shared" si="6"/>
        <v>12310319.40374035</v>
      </c>
      <c r="L19" s="32">
        <v>0</v>
      </c>
      <c r="M19" s="32">
        <v>0</v>
      </c>
      <c r="N19" s="32">
        <f t="shared" si="7"/>
        <v>5212996.8008275442</v>
      </c>
      <c r="O19" s="44">
        <f t="shared" si="3"/>
        <v>12163659.201930936</v>
      </c>
      <c r="P19" s="179" t="s">
        <v>43</v>
      </c>
      <c r="Q19" s="180"/>
      <c r="R19" s="54">
        <f>[1]asm!C24</f>
        <v>242</v>
      </c>
      <c r="S19" s="13" t="s">
        <v>33</v>
      </c>
      <c r="T19" s="55"/>
      <c r="Z19" s="5"/>
    </row>
    <row r="20" spans="1:27">
      <c r="A20" s="15">
        <v>14</v>
      </c>
      <c r="B20" s="28">
        <v>3.5000000000000001E-3</v>
      </c>
      <c r="C20" s="29">
        <f t="shared" si="4"/>
        <v>2816169.2575361016</v>
      </c>
      <c r="D20" s="30">
        <f t="shared" si="8"/>
        <v>4111607.1160027091</v>
      </c>
      <c r="E20" s="19">
        <f t="shared" si="0"/>
        <v>2726051.8412949466</v>
      </c>
      <c r="F20" s="20">
        <f t="shared" si="1"/>
        <v>1108444.2197662098</v>
      </c>
      <c r="G20" s="18">
        <f t="shared" si="2"/>
        <v>3834496.0610611564</v>
      </c>
      <c r="H20" s="31">
        <v>4.5</v>
      </c>
      <c r="I20" s="31">
        <v>0</v>
      </c>
      <c r="J20" s="32">
        <f t="shared" si="5"/>
        <v>17315837.706748825</v>
      </c>
      <c r="K20" s="32">
        <f t="shared" si="6"/>
        <v>12267233.28582726</v>
      </c>
      <c r="L20" s="32">
        <v>0</v>
      </c>
      <c r="M20" s="32">
        <v>0</v>
      </c>
      <c r="N20" s="32">
        <f t="shared" si="7"/>
        <v>5194751.3120246474</v>
      </c>
      <c r="O20" s="44">
        <f t="shared" si="3"/>
        <v>12121086.394724177</v>
      </c>
      <c r="P20" s="179" t="s">
        <v>44</v>
      </c>
      <c r="Q20" s="180"/>
      <c r="R20" s="56">
        <f>365-R19</f>
        <v>123</v>
      </c>
      <c r="S20" s="13" t="s">
        <v>33</v>
      </c>
      <c r="T20" s="55"/>
      <c r="Z20" s="5"/>
    </row>
    <row r="21" spans="1:27">
      <c r="A21" s="15">
        <v>15</v>
      </c>
      <c r="B21" s="28">
        <v>3.5000000000000001E-3</v>
      </c>
      <c r="C21" s="29">
        <f t="shared" si="4"/>
        <v>2806312.6651347256</v>
      </c>
      <c r="D21" s="30">
        <f t="shared" si="8"/>
        <v>4097216.4910967001</v>
      </c>
      <c r="E21" s="19">
        <f t="shared" si="0"/>
        <v>2716510.6598504148</v>
      </c>
      <c r="F21" s="20">
        <f t="shared" si="1"/>
        <v>1104564.6649970284</v>
      </c>
      <c r="G21" s="18">
        <f t="shared" si="2"/>
        <v>3821075.324847443</v>
      </c>
      <c r="H21" s="31">
        <v>4.5</v>
      </c>
      <c r="I21" s="31">
        <v>0</v>
      </c>
      <c r="J21" s="32">
        <f t="shared" si="5"/>
        <v>17255232.274775203</v>
      </c>
      <c r="K21" s="32">
        <f t="shared" si="6"/>
        <v>12224297.969326867</v>
      </c>
      <c r="L21" s="32">
        <v>0</v>
      </c>
      <c r="M21" s="32">
        <v>0</v>
      </c>
      <c r="N21" s="32">
        <f t="shared" si="7"/>
        <v>5176569.6824325612</v>
      </c>
      <c r="O21" s="44">
        <f t="shared" si="3"/>
        <v>12078662.592342641</v>
      </c>
      <c r="P21" s="179" t="s">
        <v>45</v>
      </c>
      <c r="Q21" s="180"/>
      <c r="R21" s="57">
        <v>0.8</v>
      </c>
      <c r="S21" s="25"/>
    </row>
    <row r="22" spans="1:27">
      <c r="A22" s="146" t="s">
        <v>55</v>
      </c>
      <c r="B22" s="147">
        <f>SUM(B7:B21)</f>
        <v>6.6500000000000031E-2</v>
      </c>
      <c r="C22" s="148">
        <f>AVERAGE(C7:C21)</f>
        <v>2876370.0798713919</v>
      </c>
      <c r="D22" s="149">
        <f>SUM(D7:D21)</f>
        <v>62992504.749183491</v>
      </c>
      <c r="E22" s="150">
        <f t="shared" si="0"/>
        <v>41764893.559732616</v>
      </c>
      <c r="F22" s="151">
        <f t="shared" si="1"/>
        <v>16982088.951560702</v>
      </c>
      <c r="G22" s="152">
        <f t="shared" si="2"/>
        <v>58746982.511293322</v>
      </c>
      <c r="H22" s="153"/>
      <c r="I22" s="153">
        <v>0</v>
      </c>
      <c r="J22" s="154">
        <f>SUM(J7:J21)</f>
        <v>265548182.33900642</v>
      </c>
      <c r="K22" s="154">
        <f t="shared" si="6"/>
        <v>0</v>
      </c>
      <c r="L22" s="154">
        <v>0</v>
      </c>
      <c r="M22" s="154">
        <v>0</v>
      </c>
      <c r="N22" s="154">
        <f>SUM(N7:N21)</f>
        <v>79664454.701701939</v>
      </c>
      <c r="O22" s="154">
        <f>SUM(O7:O21)</f>
        <v>185883727.63730454</v>
      </c>
      <c r="P22" s="40"/>
      <c r="Q22" s="25"/>
      <c r="R22" s="25"/>
      <c r="S22" s="25"/>
      <c r="V22" s="58"/>
      <c r="Z22" s="59"/>
      <c r="AA22" s="59"/>
    </row>
    <row r="23" spans="1:27">
      <c r="A23" s="123"/>
      <c r="B23" s="124"/>
      <c r="C23" s="125"/>
      <c r="D23" s="132">
        <f>D21*1.07</f>
        <v>4384021.645473469</v>
      </c>
      <c r="E23" s="127"/>
      <c r="F23" s="128"/>
      <c r="G23" s="129"/>
      <c r="H23" s="130"/>
      <c r="I23" s="121"/>
      <c r="J23" s="77"/>
      <c r="K23" s="77"/>
      <c r="L23" s="77"/>
      <c r="M23" s="77"/>
      <c r="N23" s="83" t="s">
        <v>56</v>
      </c>
      <c r="O23" s="83">
        <f>O35</f>
        <v>6.1768577907475466</v>
      </c>
      <c r="P23" s="179" t="s">
        <v>46</v>
      </c>
      <c r="Q23" s="180"/>
      <c r="R23" s="60">
        <f>R24*1.2</f>
        <v>6.6</v>
      </c>
      <c r="S23" s="61"/>
      <c r="T23" s="14"/>
      <c r="V23" s="62"/>
    </row>
    <row r="24" spans="1:27">
      <c r="A24" s="123"/>
      <c r="B24" s="124"/>
      <c r="C24" s="91" t="s">
        <v>59</v>
      </c>
      <c r="D24" s="126">
        <f>AVERAGE(D7:D23)</f>
        <v>7668766.5378729673</v>
      </c>
      <c r="E24" s="92">
        <f>D24*100/[1]การใช้ไฟย้อนหลัง!R21</f>
        <v>364.39578235556303</v>
      </c>
      <c r="F24" s="128"/>
      <c r="G24" s="129"/>
      <c r="H24" s="130"/>
      <c r="I24" s="121"/>
      <c r="J24" s="87" t="s">
        <v>58</v>
      </c>
      <c r="K24" s="88">
        <f ca="1">NPV(0.1%,K7:K26)</f>
        <v>371419518.87459576</v>
      </c>
      <c r="L24" s="88"/>
      <c r="M24" s="88"/>
      <c r="N24" s="89" t="s">
        <v>58</v>
      </c>
      <c r="O24" s="89">
        <f>NPV(10%,J7:J21)</f>
        <v>135568547.11106366</v>
      </c>
      <c r="P24" s="179" t="s">
        <v>68</v>
      </c>
      <c r="Q24" s="180"/>
      <c r="R24" s="60">
        <v>5.5</v>
      </c>
      <c r="S24" s="61"/>
      <c r="T24" s="14"/>
    </row>
    <row r="25" spans="1:27">
      <c r="A25" s="123"/>
      <c r="B25" s="124"/>
      <c r="C25" s="125"/>
      <c r="D25" s="126"/>
      <c r="E25" s="127"/>
      <c r="F25" s="128"/>
      <c r="G25" s="129"/>
      <c r="H25" s="130"/>
      <c r="I25" s="121"/>
      <c r="N25" s="89" t="s">
        <v>60</v>
      </c>
      <c r="O25" s="93">
        <f>IRR(O6:O21,0.1)</f>
        <v>0.13951183211114682</v>
      </c>
      <c r="P25" s="63" t="s">
        <v>48</v>
      </c>
      <c r="Q25" s="64"/>
      <c r="R25" s="65">
        <f>O34</f>
        <v>77000000</v>
      </c>
      <c r="S25" s="61" t="s">
        <v>49</v>
      </c>
      <c r="T25" s="14"/>
    </row>
    <row r="26" spans="1:27">
      <c r="A26" s="155"/>
      <c r="B26" s="156"/>
      <c r="C26" s="157"/>
      <c r="D26" s="158"/>
      <c r="E26" s="159"/>
      <c r="F26" s="160"/>
      <c r="G26" s="161"/>
      <c r="H26" s="162"/>
      <c r="I26" s="133"/>
      <c r="N26" s="89"/>
      <c r="O26" s="93"/>
      <c r="P26" s="66" t="s">
        <v>37</v>
      </c>
      <c r="Q26" s="67" t="s">
        <v>50</v>
      </c>
      <c r="R26" s="68"/>
      <c r="T26" s="14"/>
    </row>
    <row r="27" spans="1:27">
      <c r="A27" s="134"/>
      <c r="B27" s="135"/>
      <c r="C27" s="136"/>
      <c r="D27" s="137"/>
      <c r="E27" s="138"/>
      <c r="F27" s="139"/>
      <c r="G27" s="140"/>
      <c r="H27" s="141"/>
      <c r="I27" s="141"/>
      <c r="J27" s="142"/>
      <c r="K27" s="142"/>
      <c r="L27" s="142"/>
      <c r="M27" s="142"/>
      <c r="N27" s="142"/>
      <c r="O27" s="142"/>
      <c r="P27" s="66"/>
      <c r="Q27" s="67" t="s">
        <v>51</v>
      </c>
      <c r="R27" s="68"/>
      <c r="T27" s="14"/>
    </row>
    <row r="28" spans="1:27">
      <c r="A28" s="134"/>
      <c r="B28" s="135"/>
      <c r="C28" s="136"/>
      <c r="D28" s="137"/>
      <c r="E28" s="138"/>
      <c r="F28" s="139"/>
      <c r="G28" s="140"/>
      <c r="H28" s="141"/>
      <c r="I28" s="141"/>
      <c r="J28" s="142"/>
      <c r="K28" s="142"/>
      <c r="L28" s="142"/>
      <c r="M28" s="142"/>
      <c r="N28" s="142"/>
      <c r="O28" s="142"/>
      <c r="P28" s="66"/>
      <c r="Q28" s="67" t="s">
        <v>52</v>
      </c>
      <c r="R28" s="68"/>
      <c r="T28" s="14"/>
    </row>
    <row r="29" spans="1:27">
      <c r="A29" s="134"/>
      <c r="B29" s="135"/>
      <c r="C29" s="136"/>
      <c r="D29" s="137"/>
      <c r="E29" s="138"/>
      <c r="F29" s="139"/>
      <c r="G29" s="140"/>
      <c r="H29" s="141"/>
      <c r="I29" s="141"/>
      <c r="J29" s="142"/>
      <c r="K29" s="142"/>
      <c r="L29" s="142"/>
      <c r="M29" s="142"/>
      <c r="N29" s="142"/>
      <c r="O29" s="142"/>
      <c r="P29" s="66"/>
      <c r="Q29" s="67" t="s">
        <v>53</v>
      </c>
      <c r="R29" s="68"/>
      <c r="T29" s="14"/>
    </row>
    <row r="30" spans="1:27">
      <c r="A30" s="134"/>
      <c r="B30" s="135"/>
      <c r="C30" s="136"/>
      <c r="D30" s="137"/>
      <c r="E30" s="138"/>
      <c r="F30" s="139"/>
      <c r="G30" s="140"/>
      <c r="H30" s="141"/>
      <c r="I30" s="141"/>
      <c r="J30" s="142"/>
      <c r="K30" s="142"/>
      <c r="L30" s="142"/>
      <c r="M30" s="142"/>
      <c r="N30" s="142"/>
      <c r="O30" s="142"/>
      <c r="P30" s="66"/>
      <c r="Q30" s="67" t="s">
        <v>54</v>
      </c>
      <c r="R30" s="68"/>
      <c r="T30" s="14"/>
    </row>
    <row r="31" spans="1:27">
      <c r="A31" s="134"/>
      <c r="B31" s="135"/>
      <c r="C31" s="136"/>
      <c r="D31" s="137"/>
      <c r="E31" s="138"/>
      <c r="F31" s="139"/>
      <c r="G31" s="140"/>
      <c r="H31" s="141"/>
      <c r="I31" s="141"/>
      <c r="J31" s="142"/>
      <c r="K31" s="142"/>
      <c r="L31" s="14">
        <f>R5*4/1000</f>
        <v>12000</v>
      </c>
      <c r="N31" s="100" t="s">
        <v>22</v>
      </c>
      <c r="O31" s="101">
        <v>25</v>
      </c>
      <c r="P31" s="5"/>
      <c r="Q31" s="5"/>
      <c r="T31" s="14"/>
    </row>
    <row r="32" spans="1:27">
      <c r="A32" s="50"/>
      <c r="B32" s="143"/>
      <c r="C32" s="144"/>
      <c r="D32" s="95"/>
      <c r="E32" s="95"/>
      <c r="F32" s="95"/>
      <c r="G32" s="95"/>
      <c r="H32" s="87"/>
      <c r="I32" s="87"/>
      <c r="J32" s="145"/>
      <c r="K32" s="145"/>
      <c r="N32" s="100" t="s">
        <v>23</v>
      </c>
      <c r="O32" s="101">
        <f>R5*O31</f>
        <v>75000000</v>
      </c>
      <c r="P32" s="5"/>
      <c r="Q32" s="5"/>
    </row>
    <row r="33" spans="1:20">
      <c r="A33" s="50"/>
      <c r="B33" s="143"/>
      <c r="C33" s="131"/>
      <c r="D33" s="95"/>
      <c r="E33" s="95"/>
      <c r="F33" s="95"/>
      <c r="G33" s="95"/>
      <c r="H33" s="87"/>
      <c r="I33" s="87"/>
      <c r="J33" s="3"/>
      <c r="K33" s="3"/>
      <c r="L33" s="14">
        <f>L31*365</f>
        <v>4380000</v>
      </c>
      <c r="N33" s="102" t="s">
        <v>26</v>
      </c>
      <c r="O33" s="103">
        <v>2000000</v>
      </c>
      <c r="P33" s="5"/>
      <c r="Q33" s="5"/>
    </row>
    <row r="34" spans="1:20">
      <c r="B34" s="4"/>
      <c r="C34" s="84"/>
      <c r="D34" s="86"/>
      <c r="E34" s="86"/>
      <c r="F34" s="86"/>
      <c r="G34" s="86"/>
      <c r="H34" s="86"/>
      <c r="J34" s="3"/>
      <c r="K34" s="3"/>
      <c r="N34" s="102" t="s">
        <v>28</v>
      </c>
      <c r="O34" s="103">
        <f>O32+O33</f>
        <v>77000000</v>
      </c>
      <c r="P34" s="5"/>
      <c r="Q34" s="5"/>
    </row>
    <row r="35" spans="1:20">
      <c r="B35" s="4"/>
      <c r="D35" s="92"/>
      <c r="F35" s="92"/>
      <c r="G35" s="92"/>
      <c r="H35" s="92"/>
      <c r="I35" s="87"/>
      <c r="J35" s="3"/>
      <c r="K35" s="3"/>
      <c r="N35" s="4" t="s">
        <v>27</v>
      </c>
      <c r="O35" s="5">
        <f>O34/O12</f>
        <v>6.1768577907475466</v>
      </c>
      <c r="P35" s="5" t="s">
        <v>62</v>
      </c>
      <c r="Q35" s="5"/>
    </row>
    <row r="36" spans="1:20">
      <c r="B36" s="4"/>
      <c r="C36" s="91"/>
      <c r="D36" s="92"/>
      <c r="E36" s="92"/>
      <c r="F36" s="92"/>
      <c r="G36" s="92"/>
      <c r="H36" s="92"/>
      <c r="I36" s="87"/>
      <c r="J36" s="3"/>
      <c r="K36" s="3"/>
      <c r="M36" s="14">
        <v>6</v>
      </c>
      <c r="N36" s="4" t="s">
        <v>31</v>
      </c>
      <c r="O36" s="5">
        <f>SUM(J7:J12)</f>
        <v>108051321.20155933</v>
      </c>
      <c r="P36" s="5"/>
      <c r="Q36" s="5"/>
    </row>
    <row r="37" spans="1:20">
      <c r="B37" s="4"/>
      <c r="C37" s="4"/>
      <c r="D37" s="52"/>
      <c r="E37" s="52"/>
      <c r="F37" s="52"/>
      <c r="G37" s="52"/>
      <c r="H37" s="52"/>
      <c r="I37" s="87"/>
      <c r="M37" s="14">
        <v>6</v>
      </c>
      <c r="N37" s="4" t="s">
        <v>34</v>
      </c>
      <c r="O37" s="5">
        <f>SUM(N7:N12)</f>
        <v>32415396.360467806</v>
      </c>
      <c r="P37" s="42">
        <f>O37/M37</f>
        <v>5402566.0600779681</v>
      </c>
      <c r="Q37" s="5"/>
      <c r="T37" s="94"/>
    </row>
    <row r="38" spans="1:20">
      <c r="C38" s="4"/>
      <c r="D38" s="95"/>
      <c r="E38" s="95"/>
      <c r="F38" s="95"/>
      <c r="G38" s="95"/>
      <c r="H38" s="95"/>
      <c r="I38" s="87"/>
      <c r="N38" s="4" t="s">
        <v>36</v>
      </c>
      <c r="O38" s="5">
        <f>O37*30%</f>
        <v>9724618.9081403408</v>
      </c>
      <c r="P38" s="5">
        <f>O38/M37</f>
        <v>1620769.8180233901</v>
      </c>
      <c r="Q38" s="5">
        <f>P38/12</f>
        <v>135064.15150194918</v>
      </c>
      <c r="R38" s="3">
        <f>P38*100/P37</f>
        <v>29.999999999999996</v>
      </c>
    </row>
    <row r="39" spans="1:20">
      <c r="B39" s="94"/>
      <c r="N39" s="4" t="s">
        <v>37</v>
      </c>
      <c r="O39" s="5">
        <f>O37*40%</f>
        <v>12966158.544187123</v>
      </c>
      <c r="P39" s="5">
        <f>O39/M37</f>
        <v>2161026.4240311873</v>
      </c>
      <c r="Q39" s="5">
        <f>P39/10</f>
        <v>216102.64240311872</v>
      </c>
      <c r="R39" s="3">
        <f>P39*100/P37</f>
        <v>40</v>
      </c>
    </row>
    <row r="40" spans="1:20">
      <c r="B40" s="96"/>
      <c r="C40" s="50"/>
      <c r="D40" s="95"/>
      <c r="E40" s="95"/>
      <c r="F40" s="95"/>
      <c r="G40" s="95"/>
      <c r="H40" s="95"/>
      <c r="I40" s="87"/>
      <c r="N40" s="4" t="s">
        <v>39</v>
      </c>
      <c r="O40" s="5">
        <f>O37*20%</f>
        <v>6483079.2720935615</v>
      </c>
      <c r="P40" s="5">
        <f>O40/M37</f>
        <v>1080513.2120155937</v>
      </c>
      <c r="Q40" s="5">
        <f>P40/12</f>
        <v>90042.767667966138</v>
      </c>
      <c r="R40" s="3">
        <f>P40*100/P37</f>
        <v>20</v>
      </c>
    </row>
    <row r="41" spans="1:20">
      <c r="C41" s="50"/>
      <c r="D41" s="95"/>
      <c r="E41" s="95"/>
      <c r="F41" s="95"/>
      <c r="G41" s="95"/>
      <c r="H41" s="95"/>
      <c r="I41" s="87"/>
      <c r="N41" s="4" t="s">
        <v>40</v>
      </c>
      <c r="O41" s="5">
        <f>O37-O38-O39-O40</f>
        <v>3241539.6360467831</v>
      </c>
      <c r="P41" s="5">
        <f>O41/M37</f>
        <v>540256.60600779718</v>
      </c>
      <c r="Q41" s="5">
        <f>P41/12</f>
        <v>45021.383833983098</v>
      </c>
      <c r="R41" s="3">
        <f>100-R38-R39-R40</f>
        <v>10</v>
      </c>
    </row>
    <row r="42" spans="1:20">
      <c r="N42" s="49"/>
      <c r="O42" s="97"/>
      <c r="P42" s="97"/>
      <c r="Q42" s="97"/>
      <c r="R42" s="50"/>
    </row>
    <row r="43" spans="1:20">
      <c r="M43" s="51"/>
      <c r="N43" s="4"/>
      <c r="O43" s="5"/>
      <c r="P43" s="5"/>
      <c r="Q43" s="5"/>
      <c r="R43" s="5"/>
    </row>
    <row r="45" spans="1:20">
      <c r="J45" s="3"/>
      <c r="K45" s="3"/>
    </row>
  </sheetData>
  <mergeCells count="20">
    <mergeCell ref="P19:Q19"/>
    <mergeCell ref="P20:Q20"/>
    <mergeCell ref="P21:Q21"/>
    <mergeCell ref="P23:Q23"/>
    <mergeCell ref="P24:Q24"/>
    <mergeCell ref="P16:Q16"/>
    <mergeCell ref="A2:O2"/>
    <mergeCell ref="A3:G3"/>
    <mergeCell ref="H3:J3"/>
    <mergeCell ref="L3:N4"/>
    <mergeCell ref="O3:O4"/>
    <mergeCell ref="A4:A5"/>
    <mergeCell ref="B4:B5"/>
    <mergeCell ref="C4:C5"/>
    <mergeCell ref="E4:G4"/>
    <mergeCell ref="P5:Q5"/>
    <mergeCell ref="P7:Q7"/>
    <mergeCell ref="P11:Q11"/>
    <mergeCell ref="P12:Q12"/>
    <mergeCell ref="P14:Q14"/>
  </mergeCells>
  <pageMargins left="0.23622047244094491" right="0.23622047244094491" top="0" bottom="0.15748031496062992" header="0.31496062992125984" footer="0.31496062992125984"/>
  <pageSetup paperSize="9" scale="57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44B6-B0F1-44F3-A3AA-36291DC5F80A}">
  <sheetPr>
    <pageSetUpPr fitToPage="1"/>
  </sheetPr>
  <dimension ref="A1:AA52"/>
  <sheetViews>
    <sheetView zoomScale="90" zoomScaleNormal="90" workbookViewId="0">
      <selection activeCell="R22" sqref="R22"/>
    </sheetView>
  </sheetViews>
  <sheetFormatPr defaultColWidth="10.28515625" defaultRowHeight="24"/>
  <cols>
    <col min="1" max="1" width="7.140625" style="3" customWidth="1"/>
    <col min="2" max="2" width="13" style="3" customWidth="1"/>
    <col min="3" max="3" width="16.42578125" style="3" customWidth="1"/>
    <col min="4" max="4" width="19.5703125" style="3" customWidth="1"/>
    <col min="5" max="5" width="16.42578125" style="3" customWidth="1"/>
    <col min="6" max="6" width="19.28515625" style="3" customWidth="1"/>
    <col min="7" max="7" width="15.7109375" style="3" customWidth="1"/>
    <col min="8" max="8" width="12.28515625" style="3" customWidth="1"/>
    <col min="9" max="9" width="16.140625" style="3" hidden="1" customWidth="1"/>
    <col min="10" max="10" width="21.42578125" style="4" customWidth="1"/>
    <col min="11" max="11" width="25.7109375" style="4" hidden="1" customWidth="1"/>
    <col min="12" max="12" width="19.140625" style="3" hidden="1" customWidth="1"/>
    <col min="13" max="13" width="19.7109375" style="3" hidden="1" customWidth="1"/>
    <col min="14" max="14" width="19.85546875" style="3" customWidth="1"/>
    <col min="15" max="15" width="21" style="3" customWidth="1"/>
    <col min="16" max="16" width="18.42578125" style="1" customWidth="1"/>
    <col min="17" max="17" width="20.28515625" style="3" customWidth="1"/>
    <col min="18" max="18" width="25.140625" style="3" bestFit="1" customWidth="1"/>
    <col min="19" max="19" width="14.28515625" style="3" customWidth="1"/>
    <col min="20" max="20" width="14.5703125" style="3" bestFit="1" customWidth="1"/>
    <col min="21" max="21" width="12.42578125" style="3" customWidth="1"/>
    <col min="22" max="22" width="14.28515625" style="4" customWidth="1"/>
    <col min="23" max="23" width="17.5703125" style="5" bestFit="1" customWidth="1"/>
    <col min="24" max="24" width="19.140625" style="5" customWidth="1"/>
    <col min="25" max="25" width="16.7109375" style="5" bestFit="1" customWidth="1"/>
    <col min="26" max="26" width="14.42578125" style="3" customWidth="1"/>
    <col min="27" max="28" width="10.140625" style="3" customWidth="1"/>
    <col min="29" max="29" width="12.5703125" style="3" customWidth="1"/>
    <col min="30" max="35" width="10.140625" style="3" customWidth="1"/>
    <col min="36" max="16384" width="10.28515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 t="s">
        <v>0</v>
      </c>
      <c r="J1" s="2"/>
      <c r="K1" s="2"/>
      <c r="L1" s="1"/>
      <c r="M1" s="1"/>
      <c r="N1" s="1"/>
      <c r="O1" s="1"/>
    </row>
    <row r="2" spans="1:27" ht="30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7"/>
      <c r="S2" s="8"/>
    </row>
    <row r="3" spans="1:27" ht="30">
      <c r="A3" s="182" t="s">
        <v>2</v>
      </c>
      <c r="B3" s="183"/>
      <c r="C3" s="183"/>
      <c r="D3" s="183"/>
      <c r="E3" s="183"/>
      <c r="F3" s="183"/>
      <c r="G3" s="184"/>
      <c r="H3" s="182" t="s">
        <v>3</v>
      </c>
      <c r="I3" s="183"/>
      <c r="J3" s="184"/>
      <c r="K3" s="6"/>
      <c r="L3" s="185" t="s">
        <v>4</v>
      </c>
      <c r="M3" s="186"/>
      <c r="N3" s="187"/>
      <c r="O3" s="191" t="s">
        <v>5</v>
      </c>
      <c r="P3" s="7"/>
      <c r="S3" s="8"/>
    </row>
    <row r="4" spans="1:27" ht="72">
      <c r="A4" s="193" t="s">
        <v>6</v>
      </c>
      <c r="B4" s="195" t="s">
        <v>7</v>
      </c>
      <c r="C4" s="195" t="s">
        <v>8</v>
      </c>
      <c r="D4" s="10" t="s">
        <v>9</v>
      </c>
      <c r="E4" s="195" t="s">
        <v>10</v>
      </c>
      <c r="F4" s="195"/>
      <c r="G4" s="195"/>
      <c r="H4" s="9" t="s">
        <v>11</v>
      </c>
      <c r="I4" s="9" t="s">
        <v>12</v>
      </c>
      <c r="J4" s="9" t="s">
        <v>13</v>
      </c>
      <c r="K4" s="9"/>
      <c r="L4" s="188"/>
      <c r="M4" s="189"/>
      <c r="N4" s="190"/>
      <c r="O4" s="192"/>
      <c r="P4" s="7"/>
    </row>
    <row r="5" spans="1:27">
      <c r="A5" s="194"/>
      <c r="B5" s="195"/>
      <c r="C5" s="195"/>
      <c r="D5" s="9"/>
      <c r="E5" s="11" t="s">
        <v>14</v>
      </c>
      <c r="F5" s="11" t="s">
        <v>15</v>
      </c>
      <c r="G5" s="11" t="s">
        <v>16</v>
      </c>
      <c r="H5" s="9" t="s">
        <v>17</v>
      </c>
      <c r="I5" s="9" t="s">
        <v>17</v>
      </c>
      <c r="J5" s="9" t="s">
        <v>18</v>
      </c>
      <c r="K5" s="9"/>
      <c r="L5" s="9" t="s">
        <v>17</v>
      </c>
      <c r="M5" s="9" t="s">
        <v>17</v>
      </c>
      <c r="N5" s="9" t="s">
        <v>19</v>
      </c>
      <c r="O5" s="9" t="s">
        <v>19</v>
      </c>
      <c r="P5" s="179" t="s">
        <v>20</v>
      </c>
      <c r="Q5" s="180"/>
      <c r="R5" s="12">
        <v>3000000</v>
      </c>
      <c r="S5" s="13" t="s">
        <v>21</v>
      </c>
      <c r="T5" s="14">
        <f>R5*4/1000</f>
        <v>12000</v>
      </c>
      <c r="V5" s="3"/>
      <c r="W5" s="3"/>
      <c r="X5" s="3"/>
      <c r="Y5" s="3"/>
    </row>
    <row r="6" spans="1:27">
      <c r="A6" s="15">
        <v>0</v>
      </c>
      <c r="B6" s="16"/>
      <c r="C6" s="17">
        <f>R5</f>
        <v>3000000</v>
      </c>
      <c r="D6" s="18">
        <f>R14</f>
        <v>4380000</v>
      </c>
      <c r="E6" s="19">
        <f>D6*$R$19/365</f>
        <v>2904000</v>
      </c>
      <c r="F6" s="20">
        <f>D6*$R$20*$R$21/365</f>
        <v>1180800</v>
      </c>
      <c r="G6" s="18">
        <f>E6+F6</f>
        <v>4084800</v>
      </c>
      <c r="H6" s="21"/>
      <c r="I6" s="21"/>
      <c r="J6" s="22"/>
      <c r="K6" s="22">
        <f>-125400000</f>
        <v>-125400000</v>
      </c>
      <c r="L6" s="16"/>
      <c r="M6" s="16"/>
      <c r="N6" s="16"/>
      <c r="O6" s="163">
        <f>-P41</f>
        <v>-77000000</v>
      </c>
      <c r="P6" s="24"/>
      <c r="Q6" s="25"/>
      <c r="R6" s="26"/>
      <c r="S6" s="13"/>
      <c r="V6" s="3"/>
      <c r="W6" s="3"/>
      <c r="X6" s="3"/>
      <c r="Y6" s="3"/>
    </row>
    <row r="7" spans="1:27" ht="25.5">
      <c r="A7" s="27">
        <v>1</v>
      </c>
      <c r="B7" s="28">
        <v>1.7500000000000002E-2</v>
      </c>
      <c r="C7" s="29">
        <f>C6*(1-B7)</f>
        <v>2947500</v>
      </c>
      <c r="D7" s="30">
        <f>D6*(1-B7)</f>
        <v>4303350</v>
      </c>
      <c r="E7" s="19">
        <f>D7*$R$19/365</f>
        <v>2853180</v>
      </c>
      <c r="F7" s="20">
        <f t="shared" ref="F7:F31" si="0">D7*$R$20*$R$21/365</f>
        <v>1160136</v>
      </c>
      <c r="G7" s="18">
        <f t="shared" ref="G7:G31" si="1">E7+F7</f>
        <v>4013316</v>
      </c>
      <c r="H7" s="31">
        <v>4.5</v>
      </c>
      <c r="I7" s="31">
        <v>0</v>
      </c>
      <c r="J7" s="32">
        <f>(G6*H7)</f>
        <v>18381600</v>
      </c>
      <c r="K7" s="32">
        <f>(E7*H7)</f>
        <v>12839310</v>
      </c>
      <c r="L7" s="32">
        <v>0</v>
      </c>
      <c r="M7" s="32">
        <v>0</v>
      </c>
      <c r="N7" s="32">
        <f>J7*0.3</f>
        <v>5514480</v>
      </c>
      <c r="O7" s="33">
        <f t="shared" ref="O7:O23" si="2">J7-N7</f>
        <v>12867120</v>
      </c>
      <c r="P7" s="179" t="s">
        <v>24</v>
      </c>
      <c r="Q7" s="180"/>
      <c r="R7" s="12">
        <f>T7</f>
        <v>4380000</v>
      </c>
      <c r="S7" s="13" t="s">
        <v>25</v>
      </c>
      <c r="T7" s="14">
        <f>T5*365</f>
        <v>4380000</v>
      </c>
      <c r="V7" s="3"/>
      <c r="W7" s="3"/>
      <c r="X7" s="3"/>
      <c r="Y7" s="3"/>
    </row>
    <row r="8" spans="1:27" ht="25.5">
      <c r="A8" s="27">
        <v>2</v>
      </c>
      <c r="B8" s="28">
        <v>3.5000000000000001E-3</v>
      </c>
      <c r="C8" s="29">
        <f t="shared" ref="C8:C31" si="3">C7*(1-B8)</f>
        <v>2937183.75</v>
      </c>
      <c r="D8" s="30">
        <f>D7*(1-B8)</f>
        <v>4288288.2750000004</v>
      </c>
      <c r="E8" s="19">
        <f t="shared" ref="E8:E31" si="4">D8*$R$19/365</f>
        <v>2843193.87</v>
      </c>
      <c r="F8" s="20">
        <f t="shared" si="0"/>
        <v>1156075.5240000002</v>
      </c>
      <c r="G8" s="18">
        <f t="shared" si="1"/>
        <v>3999269.3940000003</v>
      </c>
      <c r="H8" s="31">
        <v>4.5</v>
      </c>
      <c r="I8" s="31">
        <v>0</v>
      </c>
      <c r="J8" s="32">
        <f t="shared" ref="J8:J21" si="5">(G7*H8)</f>
        <v>18059922</v>
      </c>
      <c r="K8" s="32">
        <f t="shared" ref="K8:K31" si="6">(E8*H8)</f>
        <v>12794372.415000001</v>
      </c>
      <c r="L8" s="32">
        <v>0</v>
      </c>
      <c r="M8" s="32">
        <v>0</v>
      </c>
      <c r="N8" s="32">
        <f t="shared" ref="N8:N31" si="7">J8*0.3</f>
        <v>5417976.5999999996</v>
      </c>
      <c r="O8" s="33">
        <f t="shared" si="2"/>
        <v>12641945.4</v>
      </c>
      <c r="P8" s="34" t="s">
        <v>72</v>
      </c>
      <c r="Q8" s="35">
        <f>SUM(O7:O12)</f>
        <v>75635924.841091543</v>
      </c>
      <c r="R8" s="35"/>
      <c r="S8" s="13"/>
      <c r="V8" s="3"/>
      <c r="W8" s="3"/>
      <c r="X8" s="3"/>
      <c r="Y8" s="3"/>
    </row>
    <row r="9" spans="1:27" ht="25.5">
      <c r="A9" s="27">
        <v>3</v>
      </c>
      <c r="B9" s="28">
        <v>3.5000000000000001E-3</v>
      </c>
      <c r="C9" s="29">
        <f t="shared" si="3"/>
        <v>2926903.6068750001</v>
      </c>
      <c r="D9" s="30">
        <f t="shared" ref="D9:D31" si="8">D8*(1-B9)</f>
        <v>4273279.2660375005</v>
      </c>
      <c r="E9" s="19">
        <f t="shared" si="4"/>
        <v>2833242.6914550005</v>
      </c>
      <c r="F9" s="20">
        <f t="shared" si="0"/>
        <v>1152029.2596660003</v>
      </c>
      <c r="G9" s="18">
        <f t="shared" si="1"/>
        <v>3985271.9511210006</v>
      </c>
      <c r="H9" s="31">
        <v>4.5</v>
      </c>
      <c r="I9" s="31">
        <v>0</v>
      </c>
      <c r="J9" s="32">
        <f t="shared" si="5"/>
        <v>17996712.273000002</v>
      </c>
      <c r="K9" s="32">
        <f t="shared" si="6"/>
        <v>12749592.111547502</v>
      </c>
      <c r="L9" s="32">
        <v>0</v>
      </c>
      <c r="M9" s="32">
        <v>0</v>
      </c>
      <c r="N9" s="32">
        <f t="shared" si="7"/>
        <v>5399013.6819000002</v>
      </c>
      <c r="O9" s="33">
        <f t="shared" si="2"/>
        <v>12597698.591100002</v>
      </c>
      <c r="P9" s="36" t="s">
        <v>29</v>
      </c>
      <c r="Q9" s="37">
        <f>SUM(N7:N12)</f>
        <v>32415396.360467806</v>
      </c>
      <c r="R9" s="38"/>
      <c r="S9" s="39"/>
      <c r="V9" s="3"/>
      <c r="W9" s="3"/>
      <c r="X9" s="3"/>
      <c r="Y9" s="3"/>
    </row>
    <row r="10" spans="1:27" ht="25.5">
      <c r="A10" s="27">
        <v>4</v>
      </c>
      <c r="B10" s="28">
        <v>3.5000000000000001E-3</v>
      </c>
      <c r="C10" s="29">
        <f t="shared" si="3"/>
        <v>2916659.4442509376</v>
      </c>
      <c r="D10" s="30">
        <f t="shared" si="8"/>
        <v>4258322.7886063699</v>
      </c>
      <c r="E10" s="19">
        <f t="shared" si="4"/>
        <v>2823326.342034908</v>
      </c>
      <c r="F10" s="20">
        <f t="shared" si="0"/>
        <v>1147997.1572571695</v>
      </c>
      <c r="G10" s="18">
        <f t="shared" si="1"/>
        <v>3971323.4992920775</v>
      </c>
      <c r="H10" s="31">
        <v>4.5</v>
      </c>
      <c r="I10" s="31">
        <v>0</v>
      </c>
      <c r="J10" s="32">
        <f t="shared" si="5"/>
        <v>17933723.780044504</v>
      </c>
      <c r="K10" s="32">
        <f t="shared" si="6"/>
        <v>12704968.539157085</v>
      </c>
      <c r="L10" s="32">
        <v>0</v>
      </c>
      <c r="M10" s="32">
        <v>0</v>
      </c>
      <c r="N10" s="32">
        <f t="shared" si="7"/>
        <v>5380117.1340133511</v>
      </c>
      <c r="O10" s="33">
        <f t="shared" si="2"/>
        <v>12553606.646031152</v>
      </c>
      <c r="P10" s="40"/>
      <c r="Q10" s="25"/>
      <c r="R10" s="41"/>
      <c r="S10" s="39"/>
      <c r="V10" s="3"/>
      <c r="W10" s="3"/>
      <c r="X10" s="3"/>
      <c r="Y10" s="3"/>
    </row>
    <row r="11" spans="1:27" ht="25.5">
      <c r="A11" s="27">
        <v>5</v>
      </c>
      <c r="B11" s="28">
        <v>3.5000000000000001E-3</v>
      </c>
      <c r="C11" s="29">
        <f t="shared" si="3"/>
        <v>2906451.1361960596</v>
      </c>
      <c r="D11" s="30">
        <f t="shared" si="8"/>
        <v>4243418.6588462479</v>
      </c>
      <c r="E11" s="19">
        <f t="shared" si="4"/>
        <v>2813444.6998377861</v>
      </c>
      <c r="F11" s="20">
        <f t="shared" si="0"/>
        <v>1143979.1672067693</v>
      </c>
      <c r="G11" s="18">
        <f t="shared" si="1"/>
        <v>3957423.8670445555</v>
      </c>
      <c r="H11" s="31">
        <v>4.5</v>
      </c>
      <c r="I11" s="31">
        <v>0</v>
      </c>
      <c r="J11" s="32">
        <f t="shared" si="5"/>
        <v>17870955.746814348</v>
      </c>
      <c r="K11" s="32">
        <f t="shared" si="6"/>
        <v>12660501.149270037</v>
      </c>
      <c r="L11" s="32">
        <v>0</v>
      </c>
      <c r="M11" s="32">
        <v>0</v>
      </c>
      <c r="N11" s="32">
        <f t="shared" si="7"/>
        <v>5361286.7240443043</v>
      </c>
      <c r="O11" s="33">
        <f t="shared" si="2"/>
        <v>12509669.022770043</v>
      </c>
      <c r="P11" s="179" t="s">
        <v>32</v>
      </c>
      <c r="Q11" s="180"/>
      <c r="R11" s="12">
        <f>[1]asm!C22</f>
        <v>10</v>
      </c>
      <c r="S11" s="13" t="s">
        <v>33</v>
      </c>
      <c r="V11" s="3"/>
      <c r="W11" s="3"/>
      <c r="X11" s="3"/>
      <c r="Y11" s="3"/>
    </row>
    <row r="12" spans="1:27" ht="25.5">
      <c r="A12" s="27">
        <v>6</v>
      </c>
      <c r="B12" s="28">
        <v>3.5000000000000001E-3</v>
      </c>
      <c r="C12" s="29">
        <f t="shared" si="3"/>
        <v>2896278.5572193735</v>
      </c>
      <c r="D12" s="30">
        <f t="shared" si="8"/>
        <v>4228566.6935402863</v>
      </c>
      <c r="E12" s="19">
        <f t="shared" si="4"/>
        <v>2803597.6433883542</v>
      </c>
      <c r="F12" s="20">
        <f t="shared" si="0"/>
        <v>1139975.2401215457</v>
      </c>
      <c r="G12" s="18">
        <f t="shared" si="1"/>
        <v>3943572.8835099</v>
      </c>
      <c r="H12" s="31">
        <v>4.5</v>
      </c>
      <c r="I12" s="31">
        <v>0</v>
      </c>
      <c r="J12" s="32">
        <f t="shared" si="5"/>
        <v>17808407.4017005</v>
      </c>
      <c r="K12" s="32">
        <f t="shared" si="6"/>
        <v>12616189.395247594</v>
      </c>
      <c r="L12" s="32">
        <v>0</v>
      </c>
      <c r="M12" s="32">
        <v>0</v>
      </c>
      <c r="N12" s="32">
        <f t="shared" si="7"/>
        <v>5342522.2205101503</v>
      </c>
      <c r="O12" s="33">
        <f t="shared" si="2"/>
        <v>12465885.181190349</v>
      </c>
      <c r="P12" s="196" t="s">
        <v>35</v>
      </c>
      <c r="Q12" s="197"/>
      <c r="R12" s="43">
        <f>R11*100/365</f>
        <v>2.7397260273972601</v>
      </c>
      <c r="S12" s="13"/>
      <c r="V12" s="3"/>
      <c r="W12" s="3"/>
      <c r="X12" s="3"/>
      <c r="Y12" s="3"/>
    </row>
    <row r="13" spans="1:27">
      <c r="A13" s="15">
        <v>7</v>
      </c>
      <c r="B13" s="28">
        <v>3.5000000000000001E-3</v>
      </c>
      <c r="C13" s="29">
        <f t="shared" si="3"/>
        <v>2886141.5822691061</v>
      </c>
      <c r="D13" s="30">
        <f t="shared" si="8"/>
        <v>4213766.7101128958</v>
      </c>
      <c r="E13" s="19">
        <f t="shared" si="4"/>
        <v>2793785.0516364952</v>
      </c>
      <c r="F13" s="20">
        <f t="shared" si="0"/>
        <v>1135985.3267811206</v>
      </c>
      <c r="G13" s="18">
        <f t="shared" si="1"/>
        <v>3929770.3784176158</v>
      </c>
      <c r="H13" s="31">
        <v>4.5</v>
      </c>
      <c r="I13" s="31">
        <v>0</v>
      </c>
      <c r="J13" s="32">
        <f t="shared" si="5"/>
        <v>17746077.97579455</v>
      </c>
      <c r="K13" s="32">
        <f t="shared" si="6"/>
        <v>12572032.732364228</v>
      </c>
      <c r="L13" s="32">
        <v>0</v>
      </c>
      <c r="M13" s="32">
        <v>0</v>
      </c>
      <c r="N13" s="32">
        <f t="shared" si="7"/>
        <v>5323823.3927383646</v>
      </c>
      <c r="O13" s="44">
        <f t="shared" si="2"/>
        <v>12422254.583056185</v>
      </c>
      <c r="P13" s="40"/>
      <c r="Q13" s="35">
        <f>SUM(O7:O12)</f>
        <v>75635924.841091543</v>
      </c>
      <c r="R13" s="45">
        <f>O12/12*9</f>
        <v>9349413.8858927619</v>
      </c>
      <c r="S13" s="46">
        <f>SUM(Q13:R13)</f>
        <v>84985338.726984307</v>
      </c>
      <c r="V13" s="3"/>
      <c r="W13" s="3"/>
      <c r="X13" s="3"/>
      <c r="Y13" s="3"/>
    </row>
    <row r="14" spans="1:27">
      <c r="A14" s="15">
        <v>8</v>
      </c>
      <c r="B14" s="28">
        <v>3.5000000000000001E-3</v>
      </c>
      <c r="C14" s="29">
        <f t="shared" si="3"/>
        <v>2876040.0867311643</v>
      </c>
      <c r="D14" s="30">
        <f t="shared" si="8"/>
        <v>4199018.5266275005</v>
      </c>
      <c r="E14" s="19">
        <f t="shared" si="4"/>
        <v>2784006.8039557678</v>
      </c>
      <c r="F14" s="20">
        <f t="shared" si="0"/>
        <v>1132009.3781373864</v>
      </c>
      <c r="G14" s="18">
        <f t="shared" si="1"/>
        <v>3916016.1820931542</v>
      </c>
      <c r="H14" s="31">
        <v>4.5</v>
      </c>
      <c r="I14" s="31">
        <v>0</v>
      </c>
      <c r="J14" s="32">
        <f t="shared" si="5"/>
        <v>17683966.702879272</v>
      </c>
      <c r="K14" s="32">
        <f t="shared" si="6"/>
        <v>12528030.617800955</v>
      </c>
      <c r="L14" s="32">
        <v>0</v>
      </c>
      <c r="M14" s="32">
        <v>0</v>
      </c>
      <c r="N14" s="32">
        <f t="shared" si="7"/>
        <v>5305190.0108637819</v>
      </c>
      <c r="O14" s="44">
        <f t="shared" si="2"/>
        <v>12378776.692015491</v>
      </c>
      <c r="P14" s="179" t="s">
        <v>38</v>
      </c>
      <c r="Q14" s="180"/>
      <c r="R14" s="12">
        <f>R7</f>
        <v>4380000</v>
      </c>
      <c r="S14" s="13" t="s">
        <v>25</v>
      </c>
      <c r="V14" s="3"/>
      <c r="W14" s="3"/>
      <c r="X14" s="3"/>
      <c r="Y14" s="3"/>
    </row>
    <row r="15" spans="1:27">
      <c r="A15" s="15">
        <v>9</v>
      </c>
      <c r="B15" s="28">
        <v>3.5000000000000001E-3</v>
      </c>
      <c r="C15" s="29">
        <f t="shared" si="3"/>
        <v>2865973.9464276051</v>
      </c>
      <c r="D15" s="30">
        <f t="shared" si="8"/>
        <v>4184321.9617843046</v>
      </c>
      <c r="E15" s="19">
        <f t="shared" si="4"/>
        <v>2774262.7801419226</v>
      </c>
      <c r="F15" s="20">
        <f t="shared" si="0"/>
        <v>1128047.3453139057</v>
      </c>
      <c r="G15" s="18">
        <f t="shared" si="1"/>
        <v>3902310.1254558284</v>
      </c>
      <c r="H15" s="31">
        <v>4.5</v>
      </c>
      <c r="I15" s="31">
        <v>0</v>
      </c>
      <c r="J15" s="32">
        <f t="shared" si="5"/>
        <v>17622072.819419194</v>
      </c>
      <c r="K15" s="32">
        <f t="shared" si="6"/>
        <v>12484182.510638652</v>
      </c>
      <c r="L15" s="32">
        <v>0</v>
      </c>
      <c r="M15" s="32">
        <v>0</v>
      </c>
      <c r="N15" s="32">
        <f t="shared" si="7"/>
        <v>5286621.8458257578</v>
      </c>
      <c r="O15" s="44">
        <f t="shared" si="2"/>
        <v>12335450.973593436</v>
      </c>
      <c r="P15" s="40"/>
      <c r="Q15" s="25"/>
      <c r="R15" s="47"/>
      <c r="S15" s="13"/>
      <c r="V15" s="3"/>
      <c r="W15" s="3"/>
      <c r="X15" s="3"/>
      <c r="Y15" s="3"/>
    </row>
    <row r="16" spans="1:27">
      <c r="A16" s="15">
        <v>10</v>
      </c>
      <c r="B16" s="28">
        <v>3.5000000000000001E-3</v>
      </c>
      <c r="C16" s="29">
        <f t="shared" si="3"/>
        <v>2855943.0376151088</v>
      </c>
      <c r="D16" s="30">
        <f t="shared" si="8"/>
        <v>4169676.8349180599</v>
      </c>
      <c r="E16" s="19">
        <f t="shared" si="4"/>
        <v>2764552.8604114261</v>
      </c>
      <c r="F16" s="20">
        <f t="shared" si="0"/>
        <v>1124099.1796053071</v>
      </c>
      <c r="G16" s="18">
        <f t="shared" si="1"/>
        <v>3888652.0400167331</v>
      </c>
      <c r="H16" s="31">
        <v>4.5</v>
      </c>
      <c r="I16" s="31">
        <v>0</v>
      </c>
      <c r="J16" s="32">
        <f t="shared" si="5"/>
        <v>17560395.564551227</v>
      </c>
      <c r="K16" s="32">
        <f t="shared" si="6"/>
        <v>12440487.871851418</v>
      </c>
      <c r="L16" s="32">
        <v>0</v>
      </c>
      <c r="M16" s="32">
        <v>0</v>
      </c>
      <c r="N16" s="32">
        <f t="shared" si="7"/>
        <v>5268118.6693653679</v>
      </c>
      <c r="O16" s="44">
        <f t="shared" si="2"/>
        <v>12292276.895185858</v>
      </c>
      <c r="P16" s="179" t="s">
        <v>41</v>
      </c>
      <c r="Q16" s="180"/>
      <c r="R16" s="48">
        <v>0.2</v>
      </c>
      <c r="S16" s="13"/>
      <c r="V16" s="3"/>
      <c r="W16" s="3"/>
      <c r="X16" s="3"/>
      <c r="Y16" s="3"/>
      <c r="AA16" s="4"/>
    </row>
    <row r="17" spans="1:27">
      <c r="A17" s="15">
        <v>11</v>
      </c>
      <c r="B17" s="28">
        <v>3.5000000000000001E-3</v>
      </c>
      <c r="C17" s="29">
        <f t="shared" si="3"/>
        <v>2845947.2369834562</v>
      </c>
      <c r="D17" s="30">
        <f t="shared" si="8"/>
        <v>4155082.9659958468</v>
      </c>
      <c r="E17" s="19">
        <f t="shared" si="4"/>
        <v>2754876.9253999861</v>
      </c>
      <c r="F17" s="20">
        <f t="shared" si="0"/>
        <v>1120164.8324766885</v>
      </c>
      <c r="G17" s="18">
        <f t="shared" si="1"/>
        <v>3875041.7578766746</v>
      </c>
      <c r="H17" s="31">
        <v>4.5</v>
      </c>
      <c r="I17" s="31">
        <v>0</v>
      </c>
      <c r="J17" s="32">
        <f t="shared" si="5"/>
        <v>17498934.180075299</v>
      </c>
      <c r="K17" s="32">
        <f t="shared" si="6"/>
        <v>12396946.164299937</v>
      </c>
      <c r="L17" s="32">
        <v>0</v>
      </c>
      <c r="M17" s="32">
        <v>0</v>
      </c>
      <c r="N17" s="32">
        <f t="shared" si="7"/>
        <v>5249680.2540225899</v>
      </c>
      <c r="O17" s="44">
        <f t="shared" si="2"/>
        <v>12249253.926052708</v>
      </c>
      <c r="P17" s="40"/>
      <c r="Q17" s="25"/>
      <c r="R17" s="47"/>
      <c r="S17" s="25"/>
      <c r="V17" s="3"/>
      <c r="W17" s="3"/>
      <c r="X17" s="3"/>
      <c r="Y17" s="3"/>
      <c r="AA17" s="53"/>
    </row>
    <row r="18" spans="1:27">
      <c r="A18" s="15">
        <v>12</v>
      </c>
      <c r="B18" s="28">
        <v>3.5000000000000001E-3</v>
      </c>
      <c r="C18" s="29">
        <f t="shared" si="3"/>
        <v>2835986.4216540144</v>
      </c>
      <c r="D18" s="30">
        <f t="shared" si="8"/>
        <v>4140540.1756148613</v>
      </c>
      <c r="E18" s="19">
        <f t="shared" si="4"/>
        <v>2745234.8561610864</v>
      </c>
      <c r="F18" s="20">
        <f t="shared" si="0"/>
        <v>1116244.2555630202</v>
      </c>
      <c r="G18" s="18">
        <f t="shared" si="1"/>
        <v>3861479.1117241066</v>
      </c>
      <c r="H18" s="31">
        <v>4.5</v>
      </c>
      <c r="I18" s="31">
        <v>0</v>
      </c>
      <c r="J18" s="32">
        <f t="shared" si="5"/>
        <v>17437687.910445035</v>
      </c>
      <c r="K18" s="32">
        <f t="shared" si="6"/>
        <v>12353556.852724889</v>
      </c>
      <c r="L18" s="32">
        <v>0</v>
      </c>
      <c r="M18" s="32">
        <v>0</v>
      </c>
      <c r="N18" s="32">
        <f t="shared" si="7"/>
        <v>5231306.3731335104</v>
      </c>
      <c r="O18" s="44">
        <f t="shared" si="2"/>
        <v>12206381.537311524</v>
      </c>
      <c r="P18" s="40"/>
      <c r="Q18" s="25"/>
      <c r="R18" s="25"/>
      <c r="S18" s="25"/>
      <c r="V18" s="3"/>
      <c r="W18" s="3"/>
      <c r="X18" s="3"/>
      <c r="Y18" s="3"/>
    </row>
    <row r="19" spans="1:27">
      <c r="A19" s="15">
        <v>13</v>
      </c>
      <c r="B19" s="28">
        <v>3.5000000000000001E-3</v>
      </c>
      <c r="C19" s="29">
        <f t="shared" si="3"/>
        <v>2826060.4691782254</v>
      </c>
      <c r="D19" s="30">
        <f t="shared" si="8"/>
        <v>4126048.2850002097</v>
      </c>
      <c r="E19" s="19">
        <f t="shared" si="4"/>
        <v>2735626.5341645223</v>
      </c>
      <c r="F19" s="20">
        <f t="shared" si="0"/>
        <v>1112337.4006685498</v>
      </c>
      <c r="G19" s="18">
        <f t="shared" si="1"/>
        <v>3847963.9348330721</v>
      </c>
      <c r="H19" s="31">
        <v>4.5</v>
      </c>
      <c r="I19" s="31">
        <v>0</v>
      </c>
      <c r="J19" s="32">
        <f t="shared" si="5"/>
        <v>17376656.002758481</v>
      </c>
      <c r="K19" s="32">
        <f t="shared" si="6"/>
        <v>12310319.40374035</v>
      </c>
      <c r="L19" s="32">
        <v>0</v>
      </c>
      <c r="M19" s="32">
        <v>0</v>
      </c>
      <c r="N19" s="32">
        <f t="shared" si="7"/>
        <v>5212996.8008275442</v>
      </c>
      <c r="O19" s="44">
        <f t="shared" si="2"/>
        <v>12163659.201930936</v>
      </c>
      <c r="P19" s="179" t="s">
        <v>43</v>
      </c>
      <c r="Q19" s="180"/>
      <c r="R19" s="54">
        <f>[1]asm!C24</f>
        <v>242</v>
      </c>
      <c r="S19" s="13" t="s">
        <v>33</v>
      </c>
      <c r="T19" s="55"/>
      <c r="V19" s="3"/>
      <c r="W19" s="3"/>
      <c r="X19" s="3"/>
      <c r="Y19" s="3"/>
    </row>
    <row r="20" spans="1:27">
      <c r="A20" s="15">
        <v>14</v>
      </c>
      <c r="B20" s="28">
        <v>3.5000000000000001E-3</v>
      </c>
      <c r="C20" s="29">
        <f t="shared" si="3"/>
        <v>2816169.2575361016</v>
      </c>
      <c r="D20" s="30">
        <f t="shared" si="8"/>
        <v>4111607.1160027091</v>
      </c>
      <c r="E20" s="19">
        <f t="shared" si="4"/>
        <v>2726051.8412949466</v>
      </c>
      <c r="F20" s="20">
        <f t="shared" si="0"/>
        <v>1108444.2197662098</v>
      </c>
      <c r="G20" s="18">
        <f t="shared" si="1"/>
        <v>3834496.0610611564</v>
      </c>
      <c r="H20" s="31">
        <v>4.5</v>
      </c>
      <c r="I20" s="31">
        <v>0</v>
      </c>
      <c r="J20" s="32">
        <f t="shared" si="5"/>
        <v>17315837.706748825</v>
      </c>
      <c r="K20" s="32">
        <f t="shared" si="6"/>
        <v>12267233.28582726</v>
      </c>
      <c r="L20" s="32">
        <v>0</v>
      </c>
      <c r="M20" s="32">
        <v>0</v>
      </c>
      <c r="N20" s="32">
        <f t="shared" si="7"/>
        <v>5194751.3120246474</v>
      </c>
      <c r="O20" s="44">
        <f t="shared" si="2"/>
        <v>12121086.394724177</v>
      </c>
      <c r="P20" s="179" t="s">
        <v>44</v>
      </c>
      <c r="Q20" s="180"/>
      <c r="R20" s="56">
        <f>365-R19</f>
        <v>123</v>
      </c>
      <c r="S20" s="13" t="s">
        <v>33</v>
      </c>
      <c r="T20" s="55"/>
      <c r="Z20" s="5"/>
    </row>
    <row r="21" spans="1:27">
      <c r="A21" s="15">
        <v>15</v>
      </c>
      <c r="B21" s="28">
        <v>3.5000000000000001E-3</v>
      </c>
      <c r="C21" s="29">
        <f t="shared" si="3"/>
        <v>2806312.6651347256</v>
      </c>
      <c r="D21" s="30">
        <f t="shared" si="8"/>
        <v>4097216.4910967001</v>
      </c>
      <c r="E21" s="19">
        <f t="shared" si="4"/>
        <v>2716510.6598504148</v>
      </c>
      <c r="F21" s="20">
        <f t="shared" si="0"/>
        <v>1104564.6649970284</v>
      </c>
      <c r="G21" s="18">
        <f t="shared" si="1"/>
        <v>3821075.324847443</v>
      </c>
      <c r="H21" s="31">
        <v>4.5</v>
      </c>
      <c r="I21" s="31">
        <v>0</v>
      </c>
      <c r="J21" s="32">
        <f t="shared" si="5"/>
        <v>17255232.274775203</v>
      </c>
      <c r="K21" s="32">
        <f t="shared" si="6"/>
        <v>12224297.969326867</v>
      </c>
      <c r="L21" s="32">
        <v>0</v>
      </c>
      <c r="M21" s="32">
        <v>0</v>
      </c>
      <c r="N21" s="32">
        <f t="shared" si="7"/>
        <v>5176569.6824325612</v>
      </c>
      <c r="O21" s="44">
        <f t="shared" si="2"/>
        <v>12078662.592342641</v>
      </c>
      <c r="P21" s="179" t="s">
        <v>45</v>
      </c>
      <c r="Q21" s="180"/>
      <c r="R21" s="57">
        <v>0.8</v>
      </c>
      <c r="S21" s="25"/>
    </row>
    <row r="22" spans="1:27">
      <c r="A22" s="114">
        <v>16</v>
      </c>
      <c r="B22" s="115">
        <v>3.5000000000000001E-3</v>
      </c>
      <c r="C22" s="116">
        <f t="shared" si="3"/>
        <v>2796490.5708067543</v>
      </c>
      <c r="D22" s="117">
        <f t="shared" si="8"/>
        <v>4082876.2333778618</v>
      </c>
      <c r="E22" s="118">
        <f t="shared" si="4"/>
        <v>2707002.8725409382</v>
      </c>
      <c r="F22" s="119">
        <f t="shared" si="0"/>
        <v>1100698.6886695386</v>
      </c>
      <c r="G22" s="120">
        <f t="shared" si="1"/>
        <v>3807701.5612104768</v>
      </c>
      <c r="H22" s="121">
        <v>4.5</v>
      </c>
      <c r="I22" s="121">
        <v>0</v>
      </c>
      <c r="J22" s="122">
        <f>(G21*H22)</f>
        <v>17194838.961813495</v>
      </c>
      <c r="K22" s="122">
        <f t="shared" si="6"/>
        <v>12181512.926434223</v>
      </c>
      <c r="L22" s="122">
        <v>0</v>
      </c>
      <c r="M22" s="122">
        <v>0</v>
      </c>
      <c r="N22" s="122">
        <f t="shared" si="7"/>
        <v>5158451.688544048</v>
      </c>
      <c r="O22" s="122">
        <f t="shared" si="2"/>
        <v>12036387.273269447</v>
      </c>
      <c r="P22" s="40"/>
      <c r="Q22" s="25"/>
      <c r="R22" s="25"/>
      <c r="S22" s="25"/>
      <c r="V22" s="58"/>
      <c r="Z22" s="59"/>
      <c r="AA22" s="59"/>
    </row>
    <row r="23" spans="1:27">
      <c r="A23" s="114">
        <v>17</v>
      </c>
      <c r="B23" s="115">
        <v>3.5000000000000001E-3</v>
      </c>
      <c r="C23" s="116">
        <f t="shared" si="3"/>
        <v>2786702.8538089306</v>
      </c>
      <c r="D23" s="117">
        <f t="shared" si="8"/>
        <v>4068586.1665610396</v>
      </c>
      <c r="E23" s="118">
        <f t="shared" si="4"/>
        <v>2697528.3624870456</v>
      </c>
      <c r="F23" s="119">
        <f t="shared" si="0"/>
        <v>1096846.2432591955</v>
      </c>
      <c r="G23" s="120">
        <f t="shared" si="1"/>
        <v>3794374.6057462413</v>
      </c>
      <c r="H23" s="121">
        <v>4.5</v>
      </c>
      <c r="I23" s="121">
        <v>0</v>
      </c>
      <c r="J23" s="122">
        <f t="shared" ref="J23:J31" si="9">(G22*H23)</f>
        <v>17134657.025447145</v>
      </c>
      <c r="K23" s="122">
        <f t="shared" si="6"/>
        <v>12138877.631191704</v>
      </c>
      <c r="L23" s="122">
        <v>0</v>
      </c>
      <c r="M23" s="122">
        <v>0</v>
      </c>
      <c r="N23" s="122">
        <f t="shared" si="7"/>
        <v>5140397.107634143</v>
      </c>
      <c r="O23" s="122">
        <f t="shared" si="2"/>
        <v>11994259.917813003</v>
      </c>
      <c r="P23" s="179" t="s">
        <v>46</v>
      </c>
      <c r="Q23" s="180"/>
      <c r="R23" s="60">
        <v>6.6</v>
      </c>
      <c r="S23" s="61"/>
      <c r="T23" s="14"/>
      <c r="V23" s="62"/>
    </row>
    <row r="24" spans="1:27">
      <c r="A24" s="114">
        <v>18</v>
      </c>
      <c r="B24" s="115">
        <v>3.5000000000000001E-3</v>
      </c>
      <c r="C24" s="116">
        <f t="shared" si="3"/>
        <v>2776949.3938205997</v>
      </c>
      <c r="D24" s="117">
        <f t="shared" si="8"/>
        <v>4054346.1149780764</v>
      </c>
      <c r="E24" s="118">
        <f t="shared" si="4"/>
        <v>2688087.0132183409</v>
      </c>
      <c r="F24" s="119">
        <f t="shared" si="0"/>
        <v>1093007.2814077884</v>
      </c>
      <c r="G24" s="120">
        <f t="shared" si="1"/>
        <v>3781094.2946261293</v>
      </c>
      <c r="H24" s="121">
        <v>4.5</v>
      </c>
      <c r="I24" s="121">
        <v>0</v>
      </c>
      <c r="J24" s="122">
        <f t="shared" si="9"/>
        <v>17074685.725858085</v>
      </c>
      <c r="K24" s="122">
        <f t="shared" si="6"/>
        <v>12096391.559482533</v>
      </c>
      <c r="L24" s="122">
        <v>0</v>
      </c>
      <c r="M24" s="122">
        <v>0</v>
      </c>
      <c r="N24" s="122">
        <f t="shared" si="7"/>
        <v>5122405.7177574253</v>
      </c>
      <c r="O24" s="122">
        <f>J24-N24</f>
        <v>11952280.008100659</v>
      </c>
      <c r="P24" s="179" t="s">
        <v>69</v>
      </c>
      <c r="Q24" s="180"/>
      <c r="R24" s="60">
        <v>4.5</v>
      </c>
      <c r="S24" s="61"/>
      <c r="T24" s="14"/>
    </row>
    <row r="25" spans="1:27">
      <c r="A25" s="114">
        <v>19</v>
      </c>
      <c r="B25" s="115">
        <v>3.5000000000000001E-3</v>
      </c>
      <c r="C25" s="116">
        <f t="shared" si="3"/>
        <v>2767230.0709422277</v>
      </c>
      <c r="D25" s="117">
        <f t="shared" si="8"/>
        <v>4040155.9035756532</v>
      </c>
      <c r="E25" s="118">
        <f t="shared" si="4"/>
        <v>2678678.7086720769</v>
      </c>
      <c r="F25" s="119">
        <f t="shared" si="0"/>
        <v>1089181.7559228609</v>
      </c>
      <c r="G25" s="120">
        <f t="shared" si="1"/>
        <v>3767860.4645949379</v>
      </c>
      <c r="H25" s="121">
        <v>4.5</v>
      </c>
      <c r="I25" s="121">
        <v>0</v>
      </c>
      <c r="J25" s="122">
        <f t="shared" si="9"/>
        <v>17014924.325817581</v>
      </c>
      <c r="K25" s="122">
        <f t="shared" si="6"/>
        <v>12054054.189024346</v>
      </c>
      <c r="L25" s="122">
        <v>0</v>
      </c>
      <c r="M25" s="122">
        <v>0</v>
      </c>
      <c r="N25" s="122">
        <f t="shared" si="7"/>
        <v>5104477.2977452744</v>
      </c>
      <c r="O25" s="122">
        <f t="shared" ref="O25:O30" si="10">J25-N25</f>
        <v>11910447.028072307</v>
      </c>
      <c r="P25" s="63" t="s">
        <v>48</v>
      </c>
      <c r="Q25" s="64"/>
      <c r="R25" s="65">
        <f>P41</f>
        <v>77000000</v>
      </c>
      <c r="S25" s="61" t="s">
        <v>49</v>
      </c>
      <c r="T25" s="14"/>
    </row>
    <row r="26" spans="1:27">
      <c r="A26" s="114">
        <v>20</v>
      </c>
      <c r="B26" s="115">
        <v>3.5000000000000001E-3</v>
      </c>
      <c r="C26" s="116">
        <f t="shared" si="3"/>
        <v>2757544.76569393</v>
      </c>
      <c r="D26" s="117">
        <f t="shared" si="8"/>
        <v>4026015.3579131388</v>
      </c>
      <c r="E26" s="118">
        <f t="shared" si="4"/>
        <v>2669303.333191725</v>
      </c>
      <c r="F26" s="119">
        <f t="shared" si="0"/>
        <v>1085369.6197771314</v>
      </c>
      <c r="G26" s="120">
        <f t="shared" si="1"/>
        <v>3754672.9529688563</v>
      </c>
      <c r="H26" s="121">
        <v>4.5</v>
      </c>
      <c r="I26" s="121">
        <v>0</v>
      </c>
      <c r="J26" s="122">
        <f t="shared" si="9"/>
        <v>16955372.09067722</v>
      </c>
      <c r="K26" s="122">
        <f t="shared" si="6"/>
        <v>12011864.999362763</v>
      </c>
      <c r="L26" s="122">
        <v>0</v>
      </c>
      <c r="M26" s="122">
        <v>0</v>
      </c>
      <c r="N26" s="122">
        <f t="shared" si="7"/>
        <v>5086611.6272031656</v>
      </c>
      <c r="O26" s="122">
        <f t="shared" si="10"/>
        <v>11868760.463474054</v>
      </c>
      <c r="P26" s="66" t="s">
        <v>37</v>
      </c>
      <c r="Q26" s="67" t="s">
        <v>50</v>
      </c>
      <c r="R26" s="68"/>
      <c r="T26" s="14"/>
    </row>
    <row r="27" spans="1:27">
      <c r="A27" s="114">
        <v>21</v>
      </c>
      <c r="B27" s="115">
        <v>3.5000000000000001E-3</v>
      </c>
      <c r="C27" s="116">
        <f t="shared" si="3"/>
        <v>2747893.3590140012</v>
      </c>
      <c r="D27" s="117">
        <f t="shared" si="8"/>
        <v>4011924.3041604431</v>
      </c>
      <c r="E27" s="118">
        <f t="shared" si="4"/>
        <v>2659960.7715255544</v>
      </c>
      <c r="F27" s="119">
        <f t="shared" si="0"/>
        <v>1081570.8261079113</v>
      </c>
      <c r="G27" s="120">
        <f t="shared" si="1"/>
        <v>3741531.5976334657</v>
      </c>
      <c r="H27" s="121">
        <v>4.5</v>
      </c>
      <c r="I27" s="121">
        <v>0</v>
      </c>
      <c r="J27" s="122">
        <f t="shared" si="9"/>
        <v>16896028.288359854</v>
      </c>
      <c r="K27" s="122">
        <f t="shared" si="6"/>
        <v>11969823.471864995</v>
      </c>
      <c r="L27" s="122">
        <v>0</v>
      </c>
      <c r="M27" s="122">
        <v>0</v>
      </c>
      <c r="N27" s="122">
        <f t="shared" si="7"/>
        <v>5068808.4865079559</v>
      </c>
      <c r="O27" s="122">
        <f t="shared" si="10"/>
        <v>11827219.801851898</v>
      </c>
      <c r="P27" s="66"/>
      <c r="Q27" s="67" t="s">
        <v>51</v>
      </c>
      <c r="R27" s="68"/>
      <c r="T27" s="14"/>
    </row>
    <row r="28" spans="1:27">
      <c r="A28" s="114">
        <v>22</v>
      </c>
      <c r="B28" s="115">
        <v>3.5000000000000001E-3</v>
      </c>
      <c r="C28" s="116">
        <f t="shared" si="3"/>
        <v>2738275.7322574523</v>
      </c>
      <c r="D28" s="117">
        <f t="shared" si="8"/>
        <v>3997882.5690958817</v>
      </c>
      <c r="E28" s="118">
        <f t="shared" si="4"/>
        <v>2650650.9088252145</v>
      </c>
      <c r="F28" s="119">
        <f t="shared" si="0"/>
        <v>1077785.3282165336</v>
      </c>
      <c r="G28" s="120">
        <f t="shared" si="1"/>
        <v>3728436.2370417481</v>
      </c>
      <c r="H28" s="121">
        <v>4.5</v>
      </c>
      <c r="I28" s="121">
        <v>0</v>
      </c>
      <c r="J28" s="122">
        <f t="shared" si="9"/>
        <v>16836892.189350594</v>
      </c>
      <c r="K28" s="122">
        <f t="shared" si="6"/>
        <v>11927929.089713465</v>
      </c>
      <c r="L28" s="122">
        <v>0</v>
      </c>
      <c r="M28" s="122">
        <v>0</v>
      </c>
      <c r="N28" s="122">
        <f t="shared" si="7"/>
        <v>5051067.6568051782</v>
      </c>
      <c r="O28" s="122">
        <f t="shared" si="10"/>
        <v>11785824.532545416</v>
      </c>
      <c r="P28" s="66"/>
      <c r="Q28" s="67" t="s">
        <v>52</v>
      </c>
      <c r="R28" s="68"/>
      <c r="T28" s="14"/>
    </row>
    <row r="29" spans="1:27">
      <c r="A29" s="114">
        <v>23</v>
      </c>
      <c r="B29" s="115">
        <v>3.5000000000000001E-3</v>
      </c>
      <c r="C29" s="116">
        <f t="shared" si="3"/>
        <v>2728691.7671945514</v>
      </c>
      <c r="D29" s="117">
        <f t="shared" si="8"/>
        <v>3983889.9801040464</v>
      </c>
      <c r="E29" s="118">
        <f t="shared" si="4"/>
        <v>2641373.6306443266</v>
      </c>
      <c r="F29" s="119">
        <f t="shared" si="0"/>
        <v>1074013.0795677761</v>
      </c>
      <c r="G29" s="120">
        <f t="shared" si="1"/>
        <v>3715386.7102121026</v>
      </c>
      <c r="H29" s="121">
        <v>4.5</v>
      </c>
      <c r="I29" s="121">
        <v>0</v>
      </c>
      <c r="J29" s="122">
        <f t="shared" si="9"/>
        <v>16777963.066687867</v>
      </c>
      <c r="K29" s="122">
        <f t="shared" si="6"/>
        <v>11886181.337899469</v>
      </c>
      <c r="L29" s="122">
        <v>0</v>
      </c>
      <c r="M29" s="122">
        <v>0</v>
      </c>
      <c r="N29" s="122">
        <f t="shared" si="7"/>
        <v>5033388.9200063599</v>
      </c>
      <c r="O29" s="122">
        <f t="shared" si="10"/>
        <v>11744574.146681506</v>
      </c>
      <c r="P29" s="66"/>
      <c r="Q29" s="67" t="s">
        <v>53</v>
      </c>
      <c r="R29" s="68"/>
      <c r="T29" s="14"/>
    </row>
    <row r="30" spans="1:27">
      <c r="A30" s="114">
        <v>24</v>
      </c>
      <c r="B30" s="115">
        <v>3.5000000000000001E-3</v>
      </c>
      <c r="C30" s="116">
        <f t="shared" si="3"/>
        <v>2719141.3460093704</v>
      </c>
      <c r="D30" s="117">
        <f t="shared" si="8"/>
        <v>3969946.3651736826</v>
      </c>
      <c r="E30" s="118">
        <f t="shared" si="4"/>
        <v>2632128.8229370718</v>
      </c>
      <c r="F30" s="119">
        <f t="shared" si="0"/>
        <v>1070254.0337892887</v>
      </c>
      <c r="G30" s="120">
        <f t="shared" si="1"/>
        <v>3702382.8567263605</v>
      </c>
      <c r="H30" s="121">
        <v>4.5</v>
      </c>
      <c r="I30" s="121">
        <v>0</v>
      </c>
      <c r="J30" s="122">
        <f t="shared" si="9"/>
        <v>16719240.195954463</v>
      </c>
      <c r="K30" s="122">
        <f t="shared" si="6"/>
        <v>11844579.703216823</v>
      </c>
      <c r="L30" s="122">
        <v>0</v>
      </c>
      <c r="M30" s="122">
        <v>0</v>
      </c>
      <c r="N30" s="122">
        <f t="shared" si="7"/>
        <v>5015772.0587863382</v>
      </c>
      <c r="O30" s="122">
        <f t="shared" si="10"/>
        <v>11703468.137168124</v>
      </c>
      <c r="P30" s="66"/>
      <c r="Q30" s="67" t="s">
        <v>54</v>
      </c>
      <c r="R30" s="68"/>
      <c r="T30" s="14"/>
    </row>
    <row r="31" spans="1:27">
      <c r="A31" s="114">
        <v>25</v>
      </c>
      <c r="B31" s="115">
        <v>3.5000000000000001E-3</v>
      </c>
      <c r="C31" s="116">
        <f t="shared" si="3"/>
        <v>2709624.3512983378</v>
      </c>
      <c r="D31" s="117">
        <f t="shared" si="8"/>
        <v>3956051.5528955748</v>
      </c>
      <c r="E31" s="118">
        <f t="shared" si="4"/>
        <v>2622916.372056792</v>
      </c>
      <c r="F31" s="119">
        <f t="shared" si="0"/>
        <v>1066508.1446710264</v>
      </c>
      <c r="G31" s="120">
        <f t="shared" si="1"/>
        <v>3689424.5167278182</v>
      </c>
      <c r="H31" s="121">
        <v>4.5</v>
      </c>
      <c r="I31" s="121">
        <v>0</v>
      </c>
      <c r="J31" s="122">
        <f t="shared" si="9"/>
        <v>16660722.855268622</v>
      </c>
      <c r="K31" s="122">
        <f t="shared" si="6"/>
        <v>11803123.674255565</v>
      </c>
      <c r="L31" s="122">
        <v>0</v>
      </c>
      <c r="M31" s="122">
        <v>0</v>
      </c>
      <c r="N31" s="122">
        <f t="shared" si="7"/>
        <v>4998216.8565805862</v>
      </c>
      <c r="O31" s="122">
        <f>J31-N31</f>
        <v>11662505.998688035</v>
      </c>
      <c r="P31" s="69"/>
      <c r="Q31" s="70"/>
      <c r="T31" s="14"/>
    </row>
    <row r="32" spans="1:27">
      <c r="A32" s="15" t="s">
        <v>55</v>
      </c>
      <c r="B32" s="71">
        <f>SUM(B7:B31)</f>
        <v>0.10150000000000006</v>
      </c>
      <c r="C32" s="72">
        <f>AVERAGE(C6:C31)</f>
        <v>2833619.0541891176</v>
      </c>
      <c r="D32" s="73">
        <f>SUM(D7:D26)</f>
        <v>83264484.525589257</v>
      </c>
      <c r="E32" s="73"/>
      <c r="F32" s="73"/>
      <c r="G32" s="73"/>
      <c r="H32" s="74"/>
      <c r="I32" s="74"/>
      <c r="J32" s="75">
        <f>SUM(J7:J31)</f>
        <v>434813507.06424135</v>
      </c>
      <c r="K32" s="75">
        <f>SUM(K7:N31)</f>
        <v>438300411.72051495</v>
      </c>
      <c r="L32" s="75">
        <f>SUM(L7:O31)</f>
        <v>434813507.06424129</v>
      </c>
      <c r="M32" s="75">
        <f>SUM(M7:P31)</f>
        <v>434813507.06424129</v>
      </c>
      <c r="N32" s="75">
        <f>SUM(N7:N31)</f>
        <v>130444052.1192724</v>
      </c>
      <c r="O32" s="76">
        <f>SUM(O7:O31)</f>
        <v>304369454.94496894</v>
      </c>
      <c r="P32" s="77"/>
    </row>
    <row r="33" spans="1:20">
      <c r="A33" s="78"/>
      <c r="B33" s="79"/>
      <c r="C33" s="80"/>
      <c r="D33" s="73"/>
      <c r="E33" s="81"/>
      <c r="F33" s="81"/>
      <c r="G33" s="81"/>
      <c r="H33" s="82"/>
      <c r="I33" s="82"/>
      <c r="J33" s="77"/>
      <c r="K33" s="77"/>
      <c r="L33" s="77"/>
      <c r="M33" s="77"/>
      <c r="N33" s="83" t="s">
        <v>56</v>
      </c>
      <c r="O33" s="83">
        <f>P42</f>
        <v>6.1768577907475466</v>
      </c>
      <c r="P33" s="77" t="s">
        <v>57</v>
      </c>
      <c r="Q33" s="3">
        <f>9/12</f>
        <v>0.75</v>
      </c>
    </row>
    <row r="34" spans="1:20">
      <c r="B34" s="4"/>
      <c r="C34" s="84"/>
      <c r="D34" s="85">
        <f>D32*1.07</f>
        <v>89092998.442380518</v>
      </c>
      <c r="E34" s="86"/>
      <c r="F34" s="86"/>
      <c r="G34" s="86"/>
      <c r="H34" s="86"/>
      <c r="J34" s="87" t="s">
        <v>58</v>
      </c>
      <c r="K34" s="88">
        <f>NPV(0.1%,K7:K26)</f>
        <v>245863925.04116571</v>
      </c>
      <c r="L34" s="88"/>
      <c r="M34" s="88"/>
      <c r="N34" s="89" t="s">
        <v>58</v>
      </c>
      <c r="O34" s="89">
        <f>NPV(10%,J7:J31)</f>
        <v>160534457.29970908</v>
      </c>
      <c r="P34" s="90" t="s">
        <v>49</v>
      </c>
      <c r="R34" s="3">
        <f>(IF([1]การใช้ไฟย้อนหลัง!F23&gt;=1,1,[1]การใช้ไฟย้อนหลัง!F23))</f>
        <v>1</v>
      </c>
    </row>
    <row r="35" spans="1:20">
      <c r="B35" s="4"/>
      <c r="C35" s="91" t="s">
        <v>59</v>
      </c>
      <c r="D35" s="92">
        <f>AVERAGE(D6:D26)</f>
        <v>4173546.882170917</v>
      </c>
      <c r="E35" s="92">
        <f>D35*100/[1]การใช้ไฟย้อนหลัง!R21</f>
        <v>198.31388448397232</v>
      </c>
      <c r="F35" s="92"/>
      <c r="G35" s="92"/>
      <c r="H35" s="92"/>
      <c r="I35" s="87"/>
      <c r="N35" s="89" t="s">
        <v>60</v>
      </c>
      <c r="O35" s="93">
        <f>IRR(O6:O31,0.1)</f>
        <v>0.15770464505294091</v>
      </c>
      <c r="Q35" s="4"/>
    </row>
    <row r="36" spans="1:20">
      <c r="B36" s="4"/>
      <c r="C36" s="91"/>
      <c r="D36" s="92"/>
      <c r="E36" s="92"/>
      <c r="F36" s="92"/>
      <c r="G36" s="92"/>
      <c r="H36" s="92"/>
      <c r="I36" s="87"/>
      <c r="N36" s="89"/>
      <c r="O36" s="93"/>
      <c r="Q36" s="4"/>
    </row>
    <row r="37" spans="1:20">
      <c r="B37" s="4"/>
      <c r="C37" s="4"/>
      <c r="D37" s="52"/>
      <c r="E37" s="52"/>
      <c r="F37" s="52"/>
      <c r="G37" s="52"/>
      <c r="H37" s="52"/>
      <c r="I37" s="87"/>
      <c r="Q37" s="4"/>
      <c r="T37" s="94"/>
    </row>
    <row r="38" spans="1:20">
      <c r="C38" s="4"/>
      <c r="D38" s="95"/>
      <c r="E38" s="95"/>
      <c r="F38" s="95"/>
      <c r="G38" s="95"/>
      <c r="H38" s="95"/>
      <c r="I38" s="87"/>
      <c r="O38" s="100" t="s">
        <v>22</v>
      </c>
      <c r="P38" s="101">
        <v>25</v>
      </c>
      <c r="Q38" s="5"/>
      <c r="R38" s="5"/>
    </row>
    <row r="39" spans="1:20">
      <c r="B39" s="94"/>
      <c r="O39" s="100" t="s">
        <v>23</v>
      </c>
      <c r="P39" s="101">
        <f>R5*P38</f>
        <v>75000000</v>
      </c>
      <c r="Q39" s="5"/>
      <c r="R39" s="5"/>
    </row>
    <row r="40" spans="1:20">
      <c r="B40" s="96"/>
      <c r="C40" s="50"/>
      <c r="D40" s="95"/>
      <c r="E40" s="95"/>
      <c r="F40" s="95"/>
      <c r="G40" s="95"/>
      <c r="H40" s="95"/>
      <c r="I40" s="87"/>
      <c r="O40" s="102" t="s">
        <v>26</v>
      </c>
      <c r="P40" s="103">
        <v>2000000</v>
      </c>
      <c r="Q40" s="5"/>
      <c r="R40" s="5"/>
    </row>
    <row r="41" spans="1:20">
      <c r="C41" s="50"/>
      <c r="D41" s="95"/>
      <c r="E41" s="95"/>
      <c r="F41" s="95"/>
      <c r="G41" s="95"/>
      <c r="H41" s="95"/>
      <c r="I41" s="87"/>
      <c r="O41" s="102" t="s">
        <v>28</v>
      </c>
      <c r="P41" s="103">
        <f>P39+P40</f>
        <v>77000000</v>
      </c>
      <c r="Q41" s="5"/>
      <c r="R41" s="5"/>
    </row>
    <row r="42" spans="1:20">
      <c r="O42" s="4" t="s">
        <v>27</v>
      </c>
      <c r="P42" s="5">
        <f>P41/O12</f>
        <v>6.1768577907475466</v>
      </c>
      <c r="Q42" s="5" t="s">
        <v>62</v>
      </c>
      <c r="R42" s="5"/>
    </row>
    <row r="43" spans="1:20">
      <c r="N43" s="14">
        <v>6</v>
      </c>
      <c r="O43" s="4" t="s">
        <v>31</v>
      </c>
      <c r="P43" s="5">
        <f>SUM(J7:J12)</f>
        <v>108051321.20155933</v>
      </c>
      <c r="Q43" s="5"/>
      <c r="R43" s="5"/>
    </row>
    <row r="44" spans="1:20">
      <c r="N44" s="14">
        <v>6</v>
      </c>
      <c r="O44" s="4" t="s">
        <v>34</v>
      </c>
      <c r="P44" s="5">
        <f>SUM(N7:N12)</f>
        <v>32415396.360467806</v>
      </c>
      <c r="Q44" s="42">
        <f>P44/N44</f>
        <v>5402566.0600779681</v>
      </c>
      <c r="R44" s="5"/>
    </row>
    <row r="45" spans="1:20">
      <c r="J45" s="3"/>
      <c r="K45" s="3"/>
      <c r="O45" s="4" t="s">
        <v>36</v>
      </c>
      <c r="P45" s="5">
        <f>P44*30%</f>
        <v>9724618.9081403408</v>
      </c>
      <c r="Q45" s="5">
        <f>P45/N44</f>
        <v>1620769.8180233901</v>
      </c>
      <c r="R45" s="5">
        <f>Q45/12</f>
        <v>135064.15150194918</v>
      </c>
      <c r="S45" s="3">
        <f>Q45*100/Q44</f>
        <v>29.999999999999996</v>
      </c>
    </row>
    <row r="46" spans="1:20">
      <c r="O46" s="4" t="s">
        <v>37</v>
      </c>
      <c r="P46" s="5">
        <f>P44*40%</f>
        <v>12966158.544187123</v>
      </c>
      <c r="Q46" s="5">
        <f>P46/N44</f>
        <v>2161026.4240311873</v>
      </c>
      <c r="R46" s="5">
        <f>Q46/10</f>
        <v>216102.64240311872</v>
      </c>
      <c r="S46" s="3">
        <f>Q46*100/Q44</f>
        <v>40</v>
      </c>
    </row>
    <row r="47" spans="1:20">
      <c r="O47" s="4" t="s">
        <v>39</v>
      </c>
      <c r="P47" s="5">
        <f>P44*20%</f>
        <v>6483079.2720935615</v>
      </c>
      <c r="Q47" s="5">
        <f>P47/N44</f>
        <v>1080513.2120155937</v>
      </c>
      <c r="R47" s="5">
        <f>Q47/12</f>
        <v>90042.767667966138</v>
      </c>
      <c r="S47" s="3">
        <f>Q47*100/Q44</f>
        <v>20</v>
      </c>
    </row>
    <row r="48" spans="1:20">
      <c r="O48" s="4" t="s">
        <v>40</v>
      </c>
      <c r="P48" s="5">
        <f>P44-P45-P46-P47</f>
        <v>3241539.6360467831</v>
      </c>
      <c r="Q48" s="5">
        <f>P48/N44</f>
        <v>540256.60600779718</v>
      </c>
      <c r="R48" s="5">
        <f>Q48/12</f>
        <v>45021.383833983098</v>
      </c>
      <c r="S48" s="3">
        <f>100-S45-S46-S47</f>
        <v>10</v>
      </c>
    </row>
    <row r="49" spans="14:19">
      <c r="O49" s="49"/>
      <c r="P49" s="97" t="s">
        <v>34</v>
      </c>
      <c r="Q49" s="97" t="s">
        <v>66</v>
      </c>
      <c r="R49" s="97" t="s">
        <v>67</v>
      </c>
      <c r="S49" s="50"/>
    </row>
    <row r="50" spans="14:19">
      <c r="N50" s="51"/>
      <c r="O50" s="4" t="s">
        <v>64</v>
      </c>
      <c r="P50" s="5">
        <f>SUM(J7:J21)</f>
        <v>265548182.33900642</v>
      </c>
      <c r="Q50" s="5">
        <f>P50-P41</f>
        <v>188548182.33900642</v>
      </c>
      <c r="R50" s="5">
        <f>Q50*100/P41</f>
        <v>244.86776927143691</v>
      </c>
      <c r="S50" s="5"/>
    </row>
    <row r="51" spans="14:19">
      <c r="O51" s="4" t="s">
        <v>65</v>
      </c>
      <c r="P51" s="5">
        <f>J32</f>
        <v>434813507.06424135</v>
      </c>
      <c r="Q51" s="5">
        <f>P51-P41</f>
        <v>357813507.06424135</v>
      </c>
      <c r="R51" s="5">
        <f>Q51*100/P41</f>
        <v>464.69286631719655</v>
      </c>
      <c r="S51" s="5"/>
    </row>
    <row r="52" spans="14:19">
      <c r="O52" s="4"/>
      <c r="P52" s="5">
        <f>P51-P50</f>
        <v>169265324.72523493</v>
      </c>
      <c r="Q52" s="5">
        <f>Q51-Q50</f>
        <v>169265324.72523493</v>
      </c>
      <c r="R52" s="5">
        <f>R51-R50</f>
        <v>219.82509704575963</v>
      </c>
      <c r="S52" s="5"/>
    </row>
  </sheetData>
  <mergeCells count="20">
    <mergeCell ref="P19:Q19"/>
    <mergeCell ref="P20:Q20"/>
    <mergeCell ref="P21:Q21"/>
    <mergeCell ref="P23:Q23"/>
    <mergeCell ref="P24:Q24"/>
    <mergeCell ref="P16:Q16"/>
    <mergeCell ref="A2:O2"/>
    <mergeCell ref="A3:G3"/>
    <mergeCell ref="H3:J3"/>
    <mergeCell ref="L3:N4"/>
    <mergeCell ref="O3:O4"/>
    <mergeCell ref="A4:A5"/>
    <mergeCell ref="B4:B5"/>
    <mergeCell ref="C4:C5"/>
    <mergeCell ref="E4:G4"/>
    <mergeCell ref="P5:Q5"/>
    <mergeCell ref="P7:Q7"/>
    <mergeCell ref="P11:Q11"/>
    <mergeCell ref="P12:Q12"/>
    <mergeCell ref="P14:Q14"/>
  </mergeCells>
  <pageMargins left="0.25" right="0.25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กทม 3MW PPA 35B55</vt:lpstr>
      <vt:lpstr>กทม 3MW PPA 4B73</vt:lpstr>
      <vt:lpstr>กทม 3MW PPA 4.5B73</vt:lpstr>
      <vt:lpstr>กทม 3MW PPA 4B55</vt:lpstr>
      <vt:lpstr>กทม 3MW PPA 4.5B55</vt:lpstr>
      <vt:lpstr>กทม 3MW PPA 5B55</vt:lpstr>
      <vt:lpstr>กทม 3MW PPA 5.5B55</vt:lpstr>
      <vt:lpstr>15Y</vt:lpstr>
      <vt:lpstr>25Y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cp:lastPrinted>2025-06-11T18:17:01Z</cp:lastPrinted>
  <dcterms:created xsi:type="dcterms:W3CDTF">2025-06-09T19:13:22Z</dcterms:created>
  <dcterms:modified xsi:type="dcterms:W3CDTF">2025-06-22T18:13:11Z</dcterms:modified>
</cp:coreProperties>
</file>